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65521" windowWidth="12120" windowHeight="6930" tabRatio="732" firstSheet="2" activeTab="3"/>
  </bookViews>
  <sheets>
    <sheet name="Datums" sheetId="1" state="hidden" r:id="rId1"/>
    <sheet name="Convert Lat, Long to UTM" sheetId="2" state="hidden" r:id="rId2"/>
    <sheet name="Main Page" sheetId="3" r:id="rId3"/>
    <sheet name="Batch Convert UTM to Lat-Long" sheetId="4" r:id="rId4"/>
    <sheet name="Batch Convert Lat Long To UTM" sheetId="5" r:id="rId5"/>
    <sheet name="Convert MGR to LatLong" sheetId="6" state="hidden" r:id="rId6"/>
    <sheet name="Convert UTM to Lat, Long" sheetId="7" state="hidden" r:id="rId7"/>
  </sheets>
  <definedNames>
    <definedName name="a">'Convert Lat, Long to UTM'!$C$3</definedName>
    <definedName name="A0">'Convert Lat, Long to UTM'!$C$17</definedName>
    <definedName name="arc">'Convert UTM to Lat, Long'!$C$10</definedName>
    <definedName name="b">'Convert Lat, Long to UTM'!$C$4</definedName>
    <definedName name="B0">'Convert Lat, Long to UTM'!$C$18</definedName>
    <definedName name="C0">'Convert Lat, Long to UTM'!$C$19</definedName>
    <definedName name="ca">'Convert UTM to Lat, Long'!$C$13</definedName>
    <definedName name="cb">'Convert UTM to Lat, Long'!$C$14</definedName>
    <definedName name="ccc">'Convert UTM to Lat, Long'!$C$15</definedName>
    <definedName name="cd">'Convert UTM to Lat, Long'!$C$16</definedName>
    <definedName name="D0">'Convert Lat, Long to UTM'!$C$20</definedName>
    <definedName name="DatumList">'Datums'!$A$2:$F$15</definedName>
    <definedName name="dd0">'Convert UTM to Lat, Long'!$C$24</definedName>
    <definedName name="e">'Convert Lat, Long to UTM'!$C$10</definedName>
    <definedName name="E0">'Convert Lat, Long to UTM'!$C$21</definedName>
    <definedName name="e1sq">'Convert Lat, Long to UTM'!$C$11</definedName>
    <definedName name="east">'Convert UTM to Lat, Long'!$F$2</definedName>
    <definedName name="ec">'Convert UTM to Lat, Long'!$C$5</definedName>
    <definedName name="eesq">#REF!</definedName>
    <definedName name="ei">'Convert UTM to Lat, Long'!$C$12</definedName>
    <definedName name="eisq">'Convert UTM to Lat, Long'!$C$6</definedName>
    <definedName name="f">'Convert Lat, Long to UTM'!$C$5</definedName>
    <definedName name="fact1">'Convert UTM to Lat, Long'!$C$26</definedName>
    <definedName name="fact2">'Convert UTM to Lat, Long'!$C$27</definedName>
    <definedName name="fact3">'Convert UTM to Lat, Long'!$C$28</definedName>
    <definedName name="fact4">'Convert UTM to Lat, Long'!$C$29</definedName>
    <definedName name="k0">'Convert Lat, Long to UTM'!$C$9</definedName>
    <definedName name="Ki">'Convert Lat, Long to UTM'!$C$26</definedName>
    <definedName name="Kii">'Convert Lat, Long to UTM'!$C$27</definedName>
    <definedName name="Kiii">'Convert Lat, Long to UTM'!$C$28</definedName>
    <definedName name="Kiv">'Convert Lat, Long to UTM'!$C$29</definedName>
    <definedName name="Kv">'Convert Lat, Long to UTM'!$C$30</definedName>
    <definedName name="lat">'Convert Lat, Long to UTM'!$J$2</definedName>
    <definedName name="latd">'Convert UTM to Lat, Long'!$F$1</definedName>
    <definedName name="latdd">'Convert Lat, Long to UTM'!$F$2</definedName>
    <definedName name="latdec">'Convert Lat, Long to UTM'!$I$2</definedName>
    <definedName name="latmm">'Convert Lat, Long to UTM'!$G$2</definedName>
    <definedName name="latss">'Convert Lat, Long to UTM'!$H$2</definedName>
    <definedName name="LatZones">'Datums'!$H$2:$I$23</definedName>
    <definedName name="lof1">'Convert UTM to Lat, Long'!$C$31</definedName>
    <definedName name="lof2">'Convert UTM to Lat, Long'!$C$32</definedName>
    <definedName name="lof3">'Convert UTM to Lat, Long'!$C$33</definedName>
    <definedName name="lond">'Convert UTM to Lat, Long'!$F$2</definedName>
    <definedName name="londd">'Convert Lat, Long to UTM'!$F$3</definedName>
    <definedName name="londec">'Convert Lat, Long to UTM'!$I$3</definedName>
    <definedName name="long">'Convert Lat, Long to UTM'!$J$3</definedName>
    <definedName name="lonmm">'Convert Lat, Long to UTM'!$G$3</definedName>
    <definedName name="lonss">'Convert Lat, Long to UTM'!$H$3</definedName>
    <definedName name="mu">'Convert UTM to Lat, Long'!$C$11</definedName>
    <definedName name="n">'Convert Lat, Long to UTM'!$C$12</definedName>
    <definedName name="n0">'Convert UTM to Lat, Long'!$C$22</definedName>
    <definedName name="nor">'Convert UTM to Lat, Long'!$F$1</definedName>
    <definedName name="north">'Convert UTM to Lat, Long'!$F$1</definedName>
    <definedName name="nu">'Convert Lat, Long to UTM'!$C$14</definedName>
    <definedName name="p">'Convert Lat, Long to UTM'!$C$23</definedName>
    <definedName name="phi1">'Convert UTM to Lat, Long'!$C$17</definedName>
    <definedName name="q">'Convert Lat, Long to UTM'!#REF!</definedName>
    <definedName name="Q0">'Convert UTM to Lat, Long'!$C$20</definedName>
    <definedName name="r0">'Convert UTM to Lat, Long'!$C$23</definedName>
    <definedName name="rho">'Convert Lat, Long to UTM'!$C$13</definedName>
    <definedName name="rm">'Convert Lat, Long to UTM'!$C$7</definedName>
    <definedName name="S">'Convert Lat, Long to UTM'!$C$16</definedName>
    <definedName name="Sin1">'Convert Lat, Long to UTM'!$C$24</definedName>
    <definedName name="t0">'Convert UTM to Lat, Long'!$C$21</definedName>
    <definedName name="ZC">'Convert Lat, Long to UTM'!$J$5</definedName>
    <definedName name="ZoneCM">'Convert Lat, Long to UTM'!$F$5</definedName>
  </definedNames>
  <calcPr fullCalcOnLoad="1"/>
</workbook>
</file>

<file path=xl/comments3.xml><?xml version="1.0" encoding="utf-8"?>
<comments xmlns="http://schemas.openxmlformats.org/spreadsheetml/2006/main">
  <authors>
    <author>Steven I. Dutch</author>
    <author>Steven Dutch</author>
  </authors>
  <commentList>
    <comment ref="D5" authorId="0">
      <text>
        <r>
          <rPr>
            <b/>
            <sz val="8"/>
            <rFont val="Tahoma"/>
            <family val="2"/>
          </rPr>
          <t xml:space="preserve">Type in the latitude and longitude, either in decimal form or degrees, minutes and seconds (DD:MM:SS). If you input both formats, only the decimal value will be used. The cells below will show coordinates converted into both formats. Input latitude and longitude as positive and select the appropriate hemisphere. </t>
        </r>
      </text>
    </comment>
    <comment ref="D16" authorId="0">
      <text>
        <r>
          <rPr>
            <b/>
            <sz val="8"/>
            <rFont val="Tahoma"/>
            <family val="2"/>
          </rPr>
          <t>Type in the UTM Grid goordinates. For complete conversion, you must also input the zone number (see your map legend) and the hemisphere. If no zone is imput, zone 31 (0-6 degrees) will be the default.</t>
        </r>
      </text>
    </comment>
    <comment ref="B15" authorId="0">
      <text>
        <r>
          <rPr>
            <b/>
            <sz val="8"/>
            <rFont val="Tahoma"/>
            <family val="2"/>
          </rPr>
          <t>The conversion from latitude and longitude to UTM is probably accurate to a meter or so. The reverse conversion is a bit less accurate, but is generally accurate within ten meters.
Check accuracy for your purposes by inputting one set of coordinates, then converting back. See how close the values are to the original values</t>
        </r>
      </text>
    </comment>
    <comment ref="B1" authorId="0">
      <text>
        <r>
          <rPr>
            <b/>
            <sz val="8"/>
            <rFont val="Tahoma"/>
            <family val="2"/>
          </rPr>
          <t>The datum is the mathematical model for the shape of the earth used in drafting a map. You can see the effect of datum changes by computing a conversion, then clicking different datum selections. Grid coordinates can change by several hundred meters.</t>
        </r>
        <r>
          <rPr>
            <sz val="8"/>
            <rFont val="Tahoma"/>
            <family val="2"/>
          </rPr>
          <t xml:space="preserve">
</t>
        </r>
      </text>
    </comment>
    <comment ref="B17" authorId="1">
      <text>
        <r>
          <rPr>
            <b/>
            <sz val="8"/>
            <rFont val="Tahoma"/>
            <family val="2"/>
          </rPr>
          <t>You may copy this program for your own private use and distribute copies to others provided this notice remains intact. You may modify the program as needed for your private use. For inquiries, problems, or commercial applications contact the author: 
Steven Dutch
Natural and Applied Sciences
University of Wisconsin-Green Bay
Green Bay, WI 54311-7001
dutchs@uwgb.edu</t>
        </r>
      </text>
    </comment>
  </commentList>
</comments>
</file>

<file path=xl/sharedStrings.xml><?xml version="1.0" encoding="utf-8"?>
<sst xmlns="http://schemas.openxmlformats.org/spreadsheetml/2006/main" count="506" uniqueCount="222">
  <si>
    <t>Symbol</t>
  </si>
  <si>
    <t>Value</t>
  </si>
  <si>
    <t>Degrees</t>
  </si>
  <si>
    <t>Minutes</t>
  </si>
  <si>
    <t>Seconds</t>
  </si>
  <si>
    <t>Decimal</t>
  </si>
  <si>
    <t>Radians</t>
  </si>
  <si>
    <t>equatorial radius</t>
  </si>
  <si>
    <t>a</t>
  </si>
  <si>
    <t>Latitude</t>
  </si>
  <si>
    <t>polar radius</t>
  </si>
  <si>
    <t>b</t>
  </si>
  <si>
    <t>Longitude</t>
  </si>
  <si>
    <t>flattening</t>
  </si>
  <si>
    <t>f</t>
  </si>
  <si>
    <t>Zone</t>
  </si>
  <si>
    <t>inverse flattening</t>
  </si>
  <si>
    <t>1/f</t>
  </si>
  <si>
    <t>Zone CM</t>
  </si>
  <si>
    <t>Mean radius</t>
  </si>
  <si>
    <t>rm</t>
  </si>
  <si>
    <t>scale factor</t>
  </si>
  <si>
    <t>k0</t>
  </si>
  <si>
    <t xml:space="preserve">Northing </t>
  </si>
  <si>
    <t>eccentricity</t>
  </si>
  <si>
    <t>e</t>
  </si>
  <si>
    <t>Easting</t>
  </si>
  <si>
    <t>n</t>
  </si>
  <si>
    <t>r curv 1</t>
  </si>
  <si>
    <t>rho</t>
  </si>
  <si>
    <t>r curv 2</t>
  </si>
  <si>
    <t>nu</t>
  </si>
  <si>
    <t>Meridional Arc</t>
  </si>
  <si>
    <t>S</t>
  </si>
  <si>
    <t>C1</t>
  </si>
  <si>
    <t>p (sec)</t>
  </si>
  <si>
    <t>Sin1"</t>
  </si>
  <si>
    <t>Ki</t>
  </si>
  <si>
    <t>Kii</t>
  </si>
  <si>
    <t>Kiii</t>
  </si>
  <si>
    <t>Kiv</t>
  </si>
  <si>
    <t>Kv</t>
  </si>
  <si>
    <t>A6</t>
  </si>
  <si>
    <t>e'2</t>
  </si>
  <si>
    <t>B0</t>
  </si>
  <si>
    <t>C0</t>
  </si>
  <si>
    <t>D0</t>
  </si>
  <si>
    <t>E0</t>
  </si>
  <si>
    <t>A0</t>
  </si>
  <si>
    <t>Calculate Meridional Arc Length</t>
  </si>
  <si>
    <t>Datum Constants</t>
  </si>
  <si>
    <t>Coefficients for UTM Coordinates</t>
  </si>
  <si>
    <t>Delta Long</t>
  </si>
  <si>
    <t>Calculation Constants</t>
  </si>
  <si>
    <t>Delta-Long</t>
  </si>
  <si>
    <t>Polar Axis</t>
  </si>
  <si>
    <t>Northing</t>
  </si>
  <si>
    <t>Equ Rad</t>
  </si>
  <si>
    <t>E'</t>
  </si>
  <si>
    <t>ecc</t>
  </si>
  <si>
    <t>sin1"</t>
  </si>
  <si>
    <t>dd</t>
  </si>
  <si>
    <t>mm</t>
  </si>
  <si>
    <t>ss</t>
  </si>
  <si>
    <t>Scale</t>
  </si>
  <si>
    <t>mu</t>
  </si>
  <si>
    <t>e1</t>
  </si>
  <si>
    <t>C2</t>
  </si>
  <si>
    <t>C3</t>
  </si>
  <si>
    <t>C4</t>
  </si>
  <si>
    <t>Dec</t>
  </si>
  <si>
    <t>footprint lat</t>
  </si>
  <si>
    <t>T1</t>
  </si>
  <si>
    <t>N1</t>
  </si>
  <si>
    <t>R1</t>
  </si>
  <si>
    <t>D</t>
  </si>
  <si>
    <t>D-Long-dec</t>
  </si>
  <si>
    <t>Fact1</t>
  </si>
  <si>
    <t>Fact2</t>
  </si>
  <si>
    <t>Fact3</t>
  </si>
  <si>
    <t>Fact4</t>
  </si>
  <si>
    <t>LoFact1</t>
  </si>
  <si>
    <t>LoFact2</t>
  </si>
  <si>
    <t>LoFact3</t>
  </si>
  <si>
    <t>e1sq</t>
  </si>
  <si>
    <t>sin1</t>
  </si>
  <si>
    <t>Arc Length</t>
  </si>
  <si>
    <t>Calculate Footprint Latitude</t>
  </si>
  <si>
    <t>Constants for Formulas</t>
  </si>
  <si>
    <t>Coefficients for Calculating Latitude</t>
  </si>
  <si>
    <t>Coefficients for Calculating Longitude</t>
  </si>
  <si>
    <t>Datum</t>
  </si>
  <si>
    <t>GRS 80</t>
  </si>
  <si>
    <t>WGS 72</t>
  </si>
  <si>
    <t>Australian 1965</t>
  </si>
  <si>
    <t>Krasovsky 1940</t>
  </si>
  <si>
    <t>International 1924</t>
  </si>
  <si>
    <t>Hayford 1909</t>
  </si>
  <si>
    <t>Clarke 1880</t>
  </si>
  <si>
    <t>Clarke 1866</t>
  </si>
  <si>
    <t>Airy 1830</t>
  </si>
  <si>
    <t>Bessel 1841</t>
  </si>
  <si>
    <t>Everest 1830</t>
  </si>
  <si>
    <t>Selection #</t>
  </si>
  <si>
    <t>DD</t>
  </si>
  <si>
    <t>MM</t>
  </si>
  <si>
    <t>SS</t>
  </si>
  <si>
    <t xml:space="preserve">Zone </t>
  </si>
  <si>
    <t>Select Datum</t>
  </si>
  <si>
    <t>About Accuracy</t>
  </si>
  <si>
    <t>N/S - E/W</t>
  </si>
  <si>
    <t>N</t>
  </si>
  <si>
    <t>E</t>
  </si>
  <si>
    <t>A</t>
  </si>
  <si>
    <t>C</t>
  </si>
  <si>
    <t>F</t>
  </si>
  <si>
    <t>G</t>
  </si>
  <si>
    <t>H</t>
  </si>
  <si>
    <t>J</t>
  </si>
  <si>
    <t>K</t>
  </si>
  <si>
    <t>L</t>
  </si>
  <si>
    <t>M</t>
  </si>
  <si>
    <t>P</t>
  </si>
  <si>
    <t>Q</t>
  </si>
  <si>
    <t>R</t>
  </si>
  <si>
    <t>T</t>
  </si>
  <si>
    <t>U</t>
  </si>
  <si>
    <t>V</t>
  </si>
  <si>
    <t>W</t>
  </si>
  <si>
    <t>X</t>
  </si>
  <si>
    <t>Z</t>
  </si>
  <si>
    <t>Zone Central Longitude</t>
  </si>
  <si>
    <t>Convert UTM TO Latitude and Longitude</t>
  </si>
  <si>
    <t>North or South Latitude?</t>
  </si>
  <si>
    <t>Conditions of Use</t>
  </si>
  <si>
    <t>North American 1927</t>
  </si>
  <si>
    <t>Long. Dec</t>
  </si>
  <si>
    <t>Convert Latitude and Longitude to UTM (Choose Decimal or DD MM SS)</t>
  </si>
  <si>
    <t>Lat Dec</t>
  </si>
  <si>
    <t>LatZones</t>
  </si>
  <si>
    <t>Letter E</t>
  </si>
  <si>
    <t>B</t>
  </si>
  <si>
    <t>Y</t>
  </si>
  <si>
    <t>Letter N</t>
  </si>
  <si>
    <t>Military Grid Reference</t>
  </si>
  <si>
    <t>Long Ltr0</t>
  </si>
  <si>
    <t>Digraph</t>
  </si>
  <si>
    <t>Lat Ltr0</t>
  </si>
  <si>
    <t>Convert Military Grid References to Latitude and Longitude</t>
  </si>
  <si>
    <t>Long Zone</t>
  </si>
  <si>
    <t>Lat Zone</t>
  </si>
  <si>
    <t>UTM Easting</t>
  </si>
  <si>
    <t>UTM Northing</t>
  </si>
  <si>
    <t>Under Construction</t>
  </si>
  <si>
    <t>100K E</t>
  </si>
  <si>
    <t>100K N</t>
  </si>
  <si>
    <t>Digraph Ltr N</t>
  </si>
  <si>
    <t>Digraph Ltr E</t>
  </si>
  <si>
    <t>Index N</t>
  </si>
  <si>
    <t>Footprint Lat</t>
  </si>
  <si>
    <t>Easting Add</t>
  </si>
  <si>
    <t xml:space="preserve">Easting </t>
  </si>
  <si>
    <t>S Lat Bdy</t>
  </si>
  <si>
    <t>Letter</t>
  </si>
  <si>
    <t>S Bdy</t>
  </si>
  <si>
    <t>Northing Add</t>
  </si>
  <si>
    <t>Index E'ing</t>
  </si>
  <si>
    <t>Start E Index</t>
  </si>
  <si>
    <t>Zone Mod 3</t>
  </si>
  <si>
    <t>Start Letter Equator</t>
  </si>
  <si>
    <t>Start Index Equator</t>
  </si>
  <si>
    <t>Dist S Bdy From Equator</t>
  </si>
  <si>
    <t>Location Next Letter Zone</t>
  </si>
  <si>
    <t>Correction S Lat</t>
  </si>
  <si>
    <t>Meridional Arc S</t>
  </si>
  <si>
    <t>r curv 1 = rho</t>
  </si>
  <si>
    <t>r curv 2 = nu</t>
  </si>
  <si>
    <t>Lat DD.dddd</t>
  </si>
  <si>
    <t>Long DD.ddd</t>
  </si>
  <si>
    <t>Lat Rad</t>
  </si>
  <si>
    <t>Long Rad</t>
  </si>
  <si>
    <t>Meridional Arc Constants</t>
  </si>
  <si>
    <t>Long Zone CM</t>
  </si>
  <si>
    <t>Delta Long (Sec)</t>
  </si>
  <si>
    <t>Raw Northing</t>
  </si>
  <si>
    <t>East Prime</t>
  </si>
  <si>
    <t>Footprint Latitude (phi)</t>
  </si>
  <si>
    <t>Longitude Zone</t>
  </si>
  <si>
    <t>North or South Latitude</t>
  </si>
  <si>
    <t>Corrected Northing</t>
  </si>
  <si>
    <t>Raw Latitude</t>
  </si>
  <si>
    <t>How to Use This Spreadsheet</t>
  </si>
  <si>
    <t>Latitude Degrees</t>
  </si>
  <si>
    <t>Latitude Minutes</t>
  </si>
  <si>
    <t>Latitude Seconds</t>
  </si>
  <si>
    <t>Longitude Degrees</t>
  </si>
  <si>
    <t>Longitude Minutes</t>
  </si>
  <si>
    <t>Longitude Seconds</t>
  </si>
  <si>
    <t>Latitude Converted to DD.dddd</t>
  </si>
  <si>
    <t>Longitude Converted to DD.dddd</t>
  </si>
  <si>
    <t>Latitude-Degrees</t>
  </si>
  <si>
    <t>Latitude-Minutes</t>
  </si>
  <si>
    <t>Latitude-Seconds</t>
  </si>
  <si>
    <t>Longitude-Degrees</t>
  </si>
  <si>
    <t>Longitude-Minutes</t>
  </si>
  <si>
    <t>Longitude-Seconds</t>
  </si>
  <si>
    <t>By Steve Dutch</t>
  </si>
  <si>
    <t>University of Wisconsin-Green Bay</t>
  </si>
  <si>
    <t>Updated 19 April 2005</t>
  </si>
  <si>
    <t>Digraph 1st char</t>
  </si>
  <si>
    <t>Digraph 2nd char</t>
  </si>
  <si>
    <t>Valid?</t>
  </si>
  <si>
    <t>Error Status</t>
  </si>
  <si>
    <t>Digraph Overall Valid?</t>
  </si>
  <si>
    <t>E from ZC</t>
  </si>
  <si>
    <t>Long</t>
  </si>
  <si>
    <t>phi1</t>
  </si>
  <si>
    <t>Lat from origin</t>
  </si>
  <si>
    <t>s</t>
  </si>
  <si>
    <t>gq</t>
  </si>
  <si>
    <t>WGS 84</t>
  </si>
  <si>
    <t>NAD 83</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</si>
</sst>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0"/>
    <numFmt numFmtId="196" formatCode="0.000"/>
    <numFmt numFmtId="197" formatCode="0.00000"/>
    <numFmt numFmtId="198" formatCode="#,##0.00000"/>
    <numFmt numFmtId="199" formatCode="#####"/>
    <numFmt numFmtId="200" formatCode="00000"/>
    <numFmt numFmtId="201" formatCode="00"/>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_-* #,##0.000000_-;\-* #,##0.000000_-;_-* &quot;-&quot;??_-;_-@_-"/>
    <numFmt numFmtId="208" formatCode="_-* #,##0.00000_-;\-* #,##0.00000_-;_-* &quot;-&quot;??_-;_-@_-"/>
  </numFmts>
  <fonts count="44">
    <font>
      <sz val="10"/>
      <name val="Arial"/>
      <family val="0"/>
    </font>
    <font>
      <b/>
      <sz val="10"/>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0"/>
      <color indexed="13"/>
      <name val="Arial"/>
      <family val="2"/>
    </font>
    <font>
      <sz val="8"/>
      <name val="Arial"/>
      <family val="2"/>
    </font>
    <font>
      <sz val="12"/>
      <name val="Browallia New"/>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53"/>
        <bgColor indexed="64"/>
      </patternFill>
    </fill>
    <fill>
      <patternFill patternType="solid">
        <fgColor indexed="9"/>
        <bgColor indexed="64"/>
      </patternFill>
    </fill>
    <fill>
      <patternFill patternType="solid">
        <fgColor indexed="50"/>
        <bgColor indexed="64"/>
      </patternFill>
    </fill>
    <fill>
      <patternFill patternType="solid">
        <fgColor indexed="1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right style="thin"/>
      <top style="thin"/>
      <bottom style="thin"/>
    </border>
    <border>
      <left/>
      <right style="thin"/>
      <top style="thin"/>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9">
    <xf numFmtId="0" fontId="0" fillId="0" borderId="0" xfId="0" applyAlignment="1">
      <alignment/>
    </xf>
    <xf numFmtId="0" fontId="0" fillId="33" borderId="0" xfId="0" applyFill="1" applyAlignment="1">
      <alignment/>
    </xf>
    <xf numFmtId="0" fontId="0" fillId="34" borderId="0" xfId="0" applyFill="1" applyAlignment="1">
      <alignment/>
    </xf>
    <xf numFmtId="0" fontId="1" fillId="34" borderId="0" xfId="0" applyFont="1" applyFill="1" applyAlignment="1">
      <alignment/>
    </xf>
    <xf numFmtId="0" fontId="1" fillId="33" borderId="0" xfId="0" applyFont="1" applyFill="1" applyAlignment="1">
      <alignment/>
    </xf>
    <xf numFmtId="0" fontId="0" fillId="35" borderId="0" xfId="0" applyFill="1" applyAlignment="1">
      <alignment/>
    </xf>
    <xf numFmtId="0" fontId="1" fillId="35" borderId="0" xfId="0" applyFont="1" applyFill="1" applyAlignment="1">
      <alignment/>
    </xf>
    <xf numFmtId="0" fontId="1" fillId="0" borderId="0" xfId="0" applyFont="1" applyAlignment="1">
      <alignment/>
    </xf>
    <xf numFmtId="0" fontId="1" fillId="36" borderId="0" xfId="0" applyFont="1"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4" fontId="0" fillId="38" borderId="0" xfId="0" applyNumberFormat="1" applyFill="1" applyAlignment="1">
      <alignment/>
    </xf>
    <xf numFmtId="0" fontId="1" fillId="39" borderId="0" xfId="0" applyFont="1" applyFill="1" applyAlignment="1">
      <alignment/>
    </xf>
    <xf numFmtId="0" fontId="0" fillId="39" borderId="0" xfId="0" applyFill="1" applyAlignment="1">
      <alignment/>
    </xf>
    <xf numFmtId="4" fontId="0" fillId="39" borderId="0" xfId="0" applyNumberFormat="1" applyFill="1" applyAlignment="1">
      <alignment/>
    </xf>
    <xf numFmtId="4" fontId="0" fillId="37" borderId="0" xfId="0" applyNumberFormat="1" applyFill="1" applyAlignment="1">
      <alignment/>
    </xf>
    <xf numFmtId="195" fontId="0" fillId="0" borderId="0" xfId="0" applyNumberFormat="1" applyAlignment="1">
      <alignment/>
    </xf>
    <xf numFmtId="0" fontId="0" fillId="0" borderId="0" xfId="0" applyFill="1" applyAlignment="1">
      <alignment/>
    </xf>
    <xf numFmtId="0" fontId="1" fillId="40" borderId="0" xfId="0" applyFont="1" applyFill="1" applyAlignment="1">
      <alignment/>
    </xf>
    <xf numFmtId="0" fontId="1" fillId="41" borderId="0" xfId="0" applyFont="1" applyFill="1" applyAlignment="1">
      <alignment/>
    </xf>
    <xf numFmtId="0" fontId="0" fillId="41" borderId="0" xfId="0" applyFill="1" applyAlignment="1">
      <alignment/>
    </xf>
    <xf numFmtId="0" fontId="0" fillId="42" borderId="0" xfId="0" applyFill="1" applyAlignment="1">
      <alignment/>
    </xf>
    <xf numFmtId="0" fontId="0" fillId="40" borderId="0" xfId="0" applyFill="1" applyAlignment="1">
      <alignment/>
    </xf>
    <xf numFmtId="0" fontId="0" fillId="43" borderId="0" xfId="0" applyFill="1" applyAlignment="1">
      <alignment/>
    </xf>
    <xf numFmtId="4" fontId="0" fillId="0" borderId="0" xfId="0" applyNumberFormat="1" applyAlignment="1" applyProtection="1">
      <alignment/>
      <protection locked="0"/>
    </xf>
    <xf numFmtId="0" fontId="0" fillId="0" borderId="0" xfId="0" applyFill="1" applyAlignment="1" applyProtection="1">
      <alignment/>
      <protection locked="0"/>
    </xf>
    <xf numFmtId="196" fontId="0" fillId="0" borderId="0" xfId="0" applyNumberFormat="1" applyAlignment="1">
      <alignment/>
    </xf>
    <xf numFmtId="0" fontId="0" fillId="39" borderId="0" xfId="0" applyFill="1" applyAlignment="1" applyProtection="1">
      <alignment/>
      <protection locked="0"/>
    </xf>
    <xf numFmtId="0" fontId="0" fillId="39" borderId="0" xfId="0" applyFill="1" applyAlignment="1" applyProtection="1">
      <alignment/>
      <protection/>
    </xf>
    <xf numFmtId="195" fontId="0" fillId="39" borderId="0" xfId="0" applyNumberFormat="1" applyFill="1" applyAlignment="1" applyProtection="1">
      <alignment/>
      <protection/>
    </xf>
    <xf numFmtId="196" fontId="0" fillId="39" borderId="0" xfId="0" applyNumberFormat="1" applyFill="1" applyAlignment="1" applyProtection="1">
      <alignment/>
      <protection/>
    </xf>
    <xf numFmtId="0" fontId="0" fillId="44" borderId="0" xfId="0" applyFill="1" applyAlignment="1">
      <alignment/>
    </xf>
    <xf numFmtId="0" fontId="0" fillId="38" borderId="0" xfId="0" applyFill="1" applyAlignment="1" applyProtection="1">
      <alignment/>
      <protection locked="0"/>
    </xf>
    <xf numFmtId="0" fontId="0" fillId="39" borderId="0" xfId="0" applyFill="1" applyAlignment="1" applyProtection="1">
      <alignment wrapText="1"/>
      <protection/>
    </xf>
    <xf numFmtId="0" fontId="0" fillId="45" borderId="10" xfId="0" applyFill="1" applyBorder="1" applyAlignment="1" applyProtection="1">
      <alignment/>
      <protection locked="0"/>
    </xf>
    <xf numFmtId="0" fontId="0" fillId="45" borderId="11" xfId="0" applyFill="1" applyBorder="1" applyAlignment="1" applyProtection="1">
      <alignment/>
      <protection locked="0"/>
    </xf>
    <xf numFmtId="0" fontId="0" fillId="45" borderId="12" xfId="0" applyFill="1" applyBorder="1" applyAlignment="1" applyProtection="1">
      <alignment/>
      <protection locked="0"/>
    </xf>
    <xf numFmtId="0" fontId="0" fillId="45" borderId="13" xfId="0" applyFill="1" applyBorder="1" applyAlignment="1" applyProtection="1">
      <alignment/>
      <protection locked="0"/>
    </xf>
    <xf numFmtId="0" fontId="0" fillId="45" borderId="14" xfId="0" applyFill="1" applyBorder="1" applyAlignment="1" applyProtection="1">
      <alignment/>
      <protection locked="0"/>
    </xf>
    <xf numFmtId="0" fontId="0" fillId="45" borderId="15" xfId="0" applyFill="1" applyBorder="1" applyAlignment="1" applyProtection="1">
      <alignment/>
      <protection locked="0"/>
    </xf>
    <xf numFmtId="0" fontId="0" fillId="45" borderId="16" xfId="0" applyFill="1" applyBorder="1" applyAlignment="1" applyProtection="1">
      <alignment/>
      <protection locked="0"/>
    </xf>
    <xf numFmtId="0" fontId="0" fillId="0" borderId="10" xfId="0" applyFill="1" applyBorder="1" applyAlignment="1" applyProtection="1">
      <alignment/>
      <protection locked="0"/>
    </xf>
    <xf numFmtId="0" fontId="0" fillId="0" borderId="17" xfId="0" applyFill="1" applyBorder="1" applyAlignment="1" applyProtection="1">
      <alignment/>
      <protection locked="0"/>
    </xf>
    <xf numFmtId="0" fontId="0" fillId="46" borderId="0" xfId="0" applyFill="1" applyAlignment="1">
      <alignment/>
    </xf>
    <xf numFmtId="0" fontId="0" fillId="46" borderId="0" xfId="0" applyFont="1" applyFill="1" applyAlignment="1">
      <alignment/>
    </xf>
    <xf numFmtId="0" fontId="0" fillId="45" borderId="17" xfId="0" applyFont="1" applyFill="1" applyBorder="1" applyAlignment="1" applyProtection="1">
      <alignment/>
      <protection locked="0"/>
    </xf>
    <xf numFmtId="0" fontId="0" fillId="47" borderId="0" xfId="0" applyFill="1" applyAlignment="1">
      <alignment/>
    </xf>
    <xf numFmtId="0" fontId="6" fillId="47" borderId="0" xfId="0" applyFont="1" applyFill="1" applyAlignment="1">
      <alignment/>
    </xf>
    <xf numFmtId="196" fontId="0" fillId="0" borderId="0" xfId="0" applyNumberFormat="1" applyFill="1" applyAlignment="1">
      <alignment/>
    </xf>
    <xf numFmtId="200" fontId="0" fillId="0" borderId="0" xfId="0" applyNumberFormat="1" applyFill="1" applyAlignment="1">
      <alignment/>
    </xf>
    <xf numFmtId="201" fontId="0" fillId="0" borderId="0" xfId="0" applyNumberFormat="1" applyFill="1" applyAlignment="1">
      <alignment/>
    </xf>
    <xf numFmtId="49" fontId="0" fillId="0" borderId="0" xfId="0" applyNumberFormat="1" applyFill="1" applyAlignment="1">
      <alignment/>
    </xf>
    <xf numFmtId="49" fontId="0" fillId="46" borderId="0" xfId="0" applyNumberFormat="1" applyFill="1" applyAlignment="1">
      <alignment/>
    </xf>
    <xf numFmtId="0" fontId="0" fillId="0" borderId="0" xfId="0" applyAlignment="1">
      <alignment textRotation="90"/>
    </xf>
    <xf numFmtId="0" fontId="1" fillId="0" borderId="0" xfId="0" applyFont="1" applyFill="1" applyAlignment="1">
      <alignment/>
    </xf>
    <xf numFmtId="4" fontId="0" fillId="0" borderId="0" xfId="0" applyNumberFormat="1" applyAlignment="1">
      <alignment/>
    </xf>
    <xf numFmtId="0" fontId="0" fillId="38" borderId="0" xfId="0" applyFill="1" applyAlignment="1">
      <alignment textRotation="90"/>
    </xf>
    <xf numFmtId="4" fontId="0" fillId="40" borderId="0" xfId="0" applyNumberFormat="1" applyFill="1" applyAlignment="1">
      <alignment/>
    </xf>
    <xf numFmtId="4" fontId="0" fillId="40" borderId="0" xfId="0" applyNumberFormat="1" applyFill="1" applyAlignment="1">
      <alignment textRotation="90"/>
    </xf>
    <xf numFmtId="0" fontId="0" fillId="40" borderId="0" xfId="0" applyFill="1" applyAlignment="1">
      <alignment textRotation="90"/>
    </xf>
    <xf numFmtId="0" fontId="0" fillId="40" borderId="0" xfId="0" applyFill="1" applyAlignment="1">
      <alignment textRotation="90" wrapText="1"/>
    </xf>
    <xf numFmtId="0" fontId="1" fillId="40" borderId="0" xfId="0" applyFont="1" applyFill="1" applyAlignment="1">
      <alignment textRotation="90" wrapText="1"/>
    </xf>
    <xf numFmtId="0" fontId="1" fillId="40" borderId="0" xfId="0" applyFont="1" applyFill="1" applyAlignment="1">
      <alignment textRotation="90"/>
    </xf>
    <xf numFmtId="0" fontId="0" fillId="37" borderId="0" xfId="0" applyFill="1" applyAlignment="1">
      <alignment/>
    </xf>
    <xf numFmtId="0" fontId="4" fillId="0" borderId="0" xfId="53" applyAlignment="1" applyProtection="1">
      <alignment/>
      <protection/>
    </xf>
    <xf numFmtId="0" fontId="0" fillId="37" borderId="0" xfId="0" applyFill="1" applyAlignment="1">
      <alignment textRotation="90"/>
    </xf>
    <xf numFmtId="0" fontId="0" fillId="33" borderId="0" xfId="0" applyFont="1" applyFill="1" applyAlignment="1">
      <alignment/>
    </xf>
    <xf numFmtId="0" fontId="0" fillId="33" borderId="0" xfId="0" applyFont="1" applyFill="1" applyAlignment="1">
      <alignment textRotation="90"/>
    </xf>
    <xf numFmtId="0" fontId="0" fillId="42" borderId="0" xfId="0" applyFill="1" applyAlignment="1">
      <alignment textRotation="90"/>
    </xf>
    <xf numFmtId="0" fontId="0" fillId="42" borderId="0" xfId="0" applyFont="1" applyFill="1" applyAlignment="1">
      <alignment/>
    </xf>
    <xf numFmtId="0" fontId="0" fillId="0" borderId="0" xfId="0" applyAlignment="1">
      <alignment wrapText="1"/>
    </xf>
    <xf numFmtId="0" fontId="1" fillId="46" borderId="0" xfId="0" applyFont="1" applyFill="1" applyAlignment="1">
      <alignment/>
    </xf>
    <xf numFmtId="195" fontId="0" fillId="0" borderId="0" xfId="0" applyNumberFormat="1" applyFont="1" applyAlignment="1">
      <alignment/>
    </xf>
    <xf numFmtId="208" fontId="8" fillId="0" borderId="18" xfId="42" applyNumberFormat="1" applyFont="1" applyBorder="1" applyAlignment="1">
      <alignment horizontal="center" vertical="center"/>
    </xf>
    <xf numFmtId="208" fontId="8" fillId="0" borderId="19" xfId="42" applyNumberFormat="1" applyFont="1" applyBorder="1" applyAlignment="1">
      <alignment horizontal="center" vertical="center"/>
    </xf>
    <xf numFmtId="208" fontId="0" fillId="0" borderId="20" xfId="0" applyNumberFormat="1" applyBorder="1" applyAlignment="1">
      <alignment vertical="center"/>
    </xf>
    <xf numFmtId="0" fontId="0" fillId="38" borderId="0" xfId="0" applyNumberFormat="1" applyFill="1" applyAlignment="1">
      <alignment/>
    </xf>
    <xf numFmtId="4" fontId="0"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5"/>
  <sheetViews>
    <sheetView zoomScalePageLayoutView="0" workbookViewId="0" topLeftCell="A1">
      <selection activeCell="F17" sqref="F17"/>
    </sheetView>
  </sheetViews>
  <sheetFormatPr defaultColWidth="9.140625" defaultRowHeight="12.75"/>
  <cols>
    <col min="2" max="2" width="19.140625" style="0" customWidth="1"/>
    <col min="3" max="3" width="10.7109375" style="0" bestFit="1" customWidth="1"/>
    <col min="4" max="4" width="12.57421875" style="0" customWidth="1"/>
    <col min="5" max="5" width="13.00390625" style="0" customWidth="1"/>
    <col min="6" max="6" width="12.140625" style="0" customWidth="1"/>
  </cols>
  <sheetData>
    <row r="1" spans="2:16" ht="12.75">
      <c r="B1" t="s">
        <v>91</v>
      </c>
      <c r="C1" t="s">
        <v>8</v>
      </c>
      <c r="D1" t="s">
        <v>11</v>
      </c>
      <c r="E1" t="s">
        <v>14</v>
      </c>
      <c r="F1" t="s">
        <v>17</v>
      </c>
      <c r="H1" t="s">
        <v>139</v>
      </c>
      <c r="I1" t="s">
        <v>163</v>
      </c>
      <c r="J1" t="s">
        <v>164</v>
      </c>
      <c r="K1" t="s">
        <v>154</v>
      </c>
      <c r="L1" t="s">
        <v>140</v>
      </c>
      <c r="M1" t="s">
        <v>154</v>
      </c>
      <c r="N1" t="s">
        <v>155</v>
      </c>
      <c r="O1" t="s">
        <v>143</v>
      </c>
      <c r="P1" t="s">
        <v>155</v>
      </c>
    </row>
    <row r="2" spans="1:16" ht="12.75">
      <c r="A2">
        <v>1</v>
      </c>
      <c r="B2" t="s">
        <v>220</v>
      </c>
      <c r="C2" s="73">
        <v>6378137</v>
      </c>
      <c r="D2">
        <v>6356752.3142</v>
      </c>
      <c r="E2">
        <v>0.0033528106647474805</v>
      </c>
      <c r="F2">
        <v>298.257223563</v>
      </c>
      <c r="H2">
        <v>-90</v>
      </c>
      <c r="I2" t="s">
        <v>113</v>
      </c>
      <c r="J2">
        <v>-90</v>
      </c>
      <c r="K2">
        <v>1</v>
      </c>
      <c r="L2" t="s">
        <v>113</v>
      </c>
      <c r="M2">
        <v>1</v>
      </c>
      <c r="N2">
        <v>0</v>
      </c>
      <c r="O2" t="s">
        <v>127</v>
      </c>
      <c r="P2">
        <v>0</v>
      </c>
    </row>
    <row r="3" spans="1:16" ht="12.75">
      <c r="A3">
        <v>2</v>
      </c>
      <c r="B3" t="s">
        <v>221</v>
      </c>
      <c r="C3" s="73">
        <v>6378137</v>
      </c>
      <c r="D3">
        <v>6356752.3142</v>
      </c>
      <c r="E3">
        <v>0.0033528106647474805</v>
      </c>
      <c r="F3">
        <v>298.257223563</v>
      </c>
      <c r="H3">
        <v>-84</v>
      </c>
      <c r="I3" t="s">
        <v>114</v>
      </c>
      <c r="J3">
        <v>-84</v>
      </c>
      <c r="K3">
        <v>2</v>
      </c>
      <c r="L3" t="s">
        <v>141</v>
      </c>
      <c r="M3">
        <v>2</v>
      </c>
      <c r="N3">
        <v>1</v>
      </c>
      <c r="O3" t="s">
        <v>113</v>
      </c>
      <c r="P3">
        <v>1</v>
      </c>
    </row>
    <row r="4" spans="1:16" ht="12.75">
      <c r="A4">
        <v>3</v>
      </c>
      <c r="B4" t="s">
        <v>92</v>
      </c>
      <c r="C4" s="17">
        <v>6378137</v>
      </c>
      <c r="D4" s="17">
        <v>6356752.3141</v>
      </c>
      <c r="E4">
        <v>0.0033528106875095227</v>
      </c>
      <c r="F4">
        <v>298.2572215381486</v>
      </c>
      <c r="H4">
        <v>-72</v>
      </c>
      <c r="I4" t="s">
        <v>75</v>
      </c>
      <c r="J4">
        <v>-72</v>
      </c>
      <c r="K4">
        <v>3</v>
      </c>
      <c r="L4" t="s">
        <v>114</v>
      </c>
      <c r="M4">
        <v>3</v>
      </c>
      <c r="N4">
        <v>2</v>
      </c>
      <c r="O4" t="s">
        <v>141</v>
      </c>
      <c r="P4">
        <v>2</v>
      </c>
    </row>
    <row r="5" spans="1:16" ht="12.75">
      <c r="A5">
        <v>4</v>
      </c>
      <c r="B5" t="s">
        <v>93</v>
      </c>
      <c r="C5" s="17">
        <v>6378135</v>
      </c>
      <c r="D5" s="17">
        <v>6356750.5</v>
      </c>
      <c r="E5">
        <v>0.0033527825924035788</v>
      </c>
      <c r="F5">
        <v>298.2597208258318</v>
      </c>
      <c r="H5">
        <v>-64</v>
      </c>
      <c r="I5" t="s">
        <v>112</v>
      </c>
      <c r="J5">
        <v>-64</v>
      </c>
      <c r="K5">
        <v>4</v>
      </c>
      <c r="L5" t="s">
        <v>75</v>
      </c>
      <c r="M5">
        <v>4</v>
      </c>
      <c r="N5">
        <v>3</v>
      </c>
      <c r="O5" t="s">
        <v>114</v>
      </c>
      <c r="P5">
        <v>3</v>
      </c>
    </row>
    <row r="6" spans="1:16" ht="12.75">
      <c r="A6">
        <v>5</v>
      </c>
      <c r="B6" t="s">
        <v>94</v>
      </c>
      <c r="C6" s="17">
        <v>6378160</v>
      </c>
      <c r="D6" s="17">
        <v>6356774.7</v>
      </c>
      <c r="E6">
        <v>0.0033528948787737863</v>
      </c>
      <c r="F6">
        <v>298.24973229274576</v>
      </c>
      <c r="H6">
        <v>-56</v>
      </c>
      <c r="I6" t="s">
        <v>115</v>
      </c>
      <c r="J6">
        <v>-56</v>
      </c>
      <c r="K6">
        <v>5</v>
      </c>
      <c r="L6" t="s">
        <v>112</v>
      </c>
      <c r="M6">
        <v>5</v>
      </c>
      <c r="N6">
        <v>4</v>
      </c>
      <c r="O6" t="s">
        <v>75</v>
      </c>
      <c r="P6">
        <v>4</v>
      </c>
    </row>
    <row r="7" spans="1:16" ht="12.75">
      <c r="A7">
        <v>6</v>
      </c>
      <c r="B7" t="s">
        <v>95</v>
      </c>
      <c r="C7" s="17">
        <v>6378245</v>
      </c>
      <c r="D7" s="17">
        <v>6356863</v>
      </c>
      <c r="E7">
        <v>0.003352332812552669</v>
      </c>
      <c r="F7">
        <v>298.29973809746514</v>
      </c>
      <c r="H7">
        <v>-48</v>
      </c>
      <c r="I7" t="s">
        <v>116</v>
      </c>
      <c r="J7">
        <v>-48</v>
      </c>
      <c r="K7">
        <v>6</v>
      </c>
      <c r="L7" t="s">
        <v>115</v>
      </c>
      <c r="M7">
        <v>6</v>
      </c>
      <c r="N7">
        <v>5</v>
      </c>
      <c r="O7" t="s">
        <v>112</v>
      </c>
      <c r="P7">
        <v>5</v>
      </c>
    </row>
    <row r="8" spans="1:16" ht="12.75">
      <c r="A8">
        <v>7</v>
      </c>
      <c r="B8" t="s">
        <v>135</v>
      </c>
      <c r="C8" s="17">
        <v>6378206.4</v>
      </c>
      <c r="D8" s="17">
        <v>6356583.8</v>
      </c>
      <c r="E8">
        <v>0.0033900753039287908</v>
      </c>
      <c r="F8">
        <v>294.9786982138982</v>
      </c>
      <c r="H8">
        <v>-40</v>
      </c>
      <c r="I8" t="s">
        <v>117</v>
      </c>
      <c r="J8">
        <v>-40</v>
      </c>
      <c r="K8">
        <v>7</v>
      </c>
      <c r="L8" t="s">
        <v>116</v>
      </c>
      <c r="M8">
        <v>7</v>
      </c>
      <c r="N8">
        <v>6</v>
      </c>
      <c r="O8" t="s">
        <v>115</v>
      </c>
      <c r="P8">
        <v>6</v>
      </c>
    </row>
    <row r="9" spans="1:16" ht="12.75">
      <c r="A9">
        <v>8</v>
      </c>
      <c r="B9" t="s">
        <v>96</v>
      </c>
      <c r="C9" s="17">
        <v>6378388</v>
      </c>
      <c r="D9" s="17">
        <v>6356911.9</v>
      </c>
      <c r="E9">
        <v>0.003367010598916157</v>
      </c>
      <c r="F9">
        <v>296.9993620815749</v>
      </c>
      <c r="H9">
        <v>-32</v>
      </c>
      <c r="I9" t="s">
        <v>118</v>
      </c>
      <c r="J9">
        <v>-32</v>
      </c>
      <c r="K9">
        <v>8</v>
      </c>
      <c r="L9" t="s">
        <v>117</v>
      </c>
      <c r="M9">
        <v>8</v>
      </c>
      <c r="N9">
        <v>7</v>
      </c>
      <c r="O9" t="s">
        <v>116</v>
      </c>
      <c r="P9">
        <v>7</v>
      </c>
    </row>
    <row r="10" spans="1:16" ht="12.75">
      <c r="A10">
        <v>9</v>
      </c>
      <c r="B10" t="s">
        <v>97</v>
      </c>
      <c r="C10" s="17">
        <v>6378388</v>
      </c>
      <c r="D10" s="17">
        <v>6356911.9</v>
      </c>
      <c r="E10">
        <v>0.003367010598916157</v>
      </c>
      <c r="F10">
        <v>296.9993620815749</v>
      </c>
      <c r="H10">
        <v>-24</v>
      </c>
      <c r="I10" t="s">
        <v>119</v>
      </c>
      <c r="J10">
        <v>-24</v>
      </c>
      <c r="K10">
        <v>9</v>
      </c>
      <c r="L10" t="s">
        <v>118</v>
      </c>
      <c r="M10">
        <v>9</v>
      </c>
      <c r="N10">
        <v>8</v>
      </c>
      <c r="O10" t="s">
        <v>117</v>
      </c>
      <c r="P10">
        <v>8</v>
      </c>
    </row>
    <row r="11" spans="1:16" ht="12.75">
      <c r="A11">
        <v>10</v>
      </c>
      <c r="B11" t="s">
        <v>98</v>
      </c>
      <c r="C11" s="17">
        <v>6378249.1</v>
      </c>
      <c r="D11" s="17">
        <v>6356514.9</v>
      </c>
      <c r="E11">
        <v>0.00340754957344003</v>
      </c>
      <c r="F11">
        <v>293.46601669259593</v>
      </c>
      <c r="H11">
        <v>-16</v>
      </c>
      <c r="I11" t="s">
        <v>120</v>
      </c>
      <c r="J11">
        <v>-16</v>
      </c>
      <c r="K11">
        <v>10</v>
      </c>
      <c r="L11" t="s">
        <v>119</v>
      </c>
      <c r="M11">
        <v>10</v>
      </c>
      <c r="N11">
        <v>9</v>
      </c>
      <c r="O11" t="s">
        <v>118</v>
      </c>
      <c r="P11">
        <v>9</v>
      </c>
    </row>
    <row r="12" spans="1:16" ht="12.75">
      <c r="A12">
        <v>11</v>
      </c>
      <c r="B12" t="s">
        <v>99</v>
      </c>
      <c r="C12" s="17">
        <v>6378206.4</v>
      </c>
      <c r="D12" s="17">
        <v>6356583.8</v>
      </c>
      <c r="E12">
        <v>0.0033900753039287908</v>
      </c>
      <c r="F12">
        <v>294.9786982138982</v>
      </c>
      <c r="H12">
        <v>-8</v>
      </c>
      <c r="I12" t="s">
        <v>121</v>
      </c>
      <c r="J12">
        <v>-8</v>
      </c>
      <c r="K12">
        <v>11</v>
      </c>
      <c r="L12" t="s">
        <v>120</v>
      </c>
      <c r="M12">
        <v>11</v>
      </c>
      <c r="N12">
        <v>10</v>
      </c>
      <c r="O12" t="s">
        <v>119</v>
      </c>
      <c r="P12">
        <v>10</v>
      </c>
    </row>
    <row r="13" spans="1:16" ht="12.75">
      <c r="A13">
        <v>12</v>
      </c>
      <c r="B13" t="s">
        <v>100</v>
      </c>
      <c r="C13" s="17">
        <v>6377563.4</v>
      </c>
      <c r="D13" s="17">
        <v>6356256.9</v>
      </c>
      <c r="E13">
        <v>0.0033408527150039775</v>
      </c>
      <c r="F13">
        <v>299.3247788233638</v>
      </c>
      <c r="H13">
        <v>0</v>
      </c>
      <c r="I13" t="s">
        <v>111</v>
      </c>
      <c r="J13">
        <v>0</v>
      </c>
      <c r="K13">
        <v>12</v>
      </c>
      <c r="L13" t="s">
        <v>121</v>
      </c>
      <c r="M13">
        <v>12</v>
      </c>
      <c r="N13">
        <v>11</v>
      </c>
      <c r="O13" t="s">
        <v>120</v>
      </c>
      <c r="P13">
        <v>11</v>
      </c>
    </row>
    <row r="14" spans="1:16" ht="12.75">
      <c r="A14">
        <v>13</v>
      </c>
      <c r="B14" t="s">
        <v>101</v>
      </c>
      <c r="C14" s="17">
        <v>6377397.2</v>
      </c>
      <c r="D14" s="17">
        <v>6356079</v>
      </c>
      <c r="E14">
        <v>0.00334277438450912</v>
      </c>
      <c r="F14">
        <v>299.1527052002488</v>
      </c>
      <c r="H14">
        <v>8</v>
      </c>
      <c r="I14" t="s">
        <v>122</v>
      </c>
      <c r="J14">
        <v>8</v>
      </c>
      <c r="K14">
        <v>13</v>
      </c>
      <c r="L14" t="s">
        <v>111</v>
      </c>
      <c r="M14">
        <v>13</v>
      </c>
      <c r="N14">
        <v>12</v>
      </c>
      <c r="O14" t="s">
        <v>121</v>
      </c>
      <c r="P14">
        <v>12</v>
      </c>
    </row>
    <row r="15" spans="1:16" ht="12.75">
      <c r="A15">
        <v>14</v>
      </c>
      <c r="B15" t="s">
        <v>102</v>
      </c>
      <c r="C15" s="17">
        <v>6377276.3</v>
      </c>
      <c r="D15" s="17">
        <v>6356075.4</v>
      </c>
      <c r="E15">
        <v>0.003324444324295537</v>
      </c>
      <c r="F15">
        <v>300.8021499087382</v>
      </c>
      <c r="H15">
        <v>16</v>
      </c>
      <c r="I15" t="s">
        <v>123</v>
      </c>
      <c r="J15">
        <v>16</v>
      </c>
      <c r="K15">
        <v>14</v>
      </c>
      <c r="L15" t="s">
        <v>122</v>
      </c>
      <c r="M15">
        <v>14</v>
      </c>
      <c r="N15">
        <v>13</v>
      </c>
      <c r="O15" t="s">
        <v>111</v>
      </c>
      <c r="P15">
        <v>13</v>
      </c>
    </row>
    <row r="16" spans="1:16" ht="12.75">
      <c r="A16" t="s">
        <v>191</v>
      </c>
      <c r="H16">
        <v>24</v>
      </c>
      <c r="I16" t="s">
        <v>124</v>
      </c>
      <c r="J16">
        <v>24</v>
      </c>
      <c r="K16">
        <v>15</v>
      </c>
      <c r="L16" t="s">
        <v>123</v>
      </c>
      <c r="M16">
        <v>15</v>
      </c>
      <c r="N16">
        <v>14</v>
      </c>
      <c r="O16" t="s">
        <v>122</v>
      </c>
      <c r="P16">
        <v>14</v>
      </c>
    </row>
    <row r="17" spans="8:16" ht="12.75">
      <c r="H17">
        <v>32</v>
      </c>
      <c r="I17" t="s">
        <v>33</v>
      </c>
      <c r="J17">
        <v>32</v>
      </c>
      <c r="K17">
        <v>16</v>
      </c>
      <c r="L17" t="s">
        <v>124</v>
      </c>
      <c r="M17">
        <v>16</v>
      </c>
      <c r="N17">
        <v>15</v>
      </c>
      <c r="O17" t="s">
        <v>123</v>
      </c>
      <c r="P17">
        <v>15</v>
      </c>
    </row>
    <row r="18" spans="8:16" ht="12.75">
      <c r="H18">
        <v>40</v>
      </c>
      <c r="I18" t="s">
        <v>125</v>
      </c>
      <c r="J18">
        <v>40</v>
      </c>
      <c r="K18">
        <v>17</v>
      </c>
      <c r="L18" t="s">
        <v>33</v>
      </c>
      <c r="M18">
        <v>17</v>
      </c>
      <c r="N18">
        <v>16</v>
      </c>
      <c r="O18" t="s">
        <v>124</v>
      </c>
      <c r="P18">
        <v>16</v>
      </c>
    </row>
    <row r="19" spans="8:16" ht="12.75">
      <c r="H19">
        <v>48</v>
      </c>
      <c r="I19" t="s">
        <v>126</v>
      </c>
      <c r="J19">
        <v>48</v>
      </c>
      <c r="K19">
        <v>18</v>
      </c>
      <c r="L19" t="s">
        <v>125</v>
      </c>
      <c r="M19">
        <v>18</v>
      </c>
      <c r="N19">
        <v>17</v>
      </c>
      <c r="O19" t="s">
        <v>33</v>
      </c>
      <c r="P19">
        <v>17</v>
      </c>
    </row>
    <row r="20" spans="8:16" ht="12.75">
      <c r="H20">
        <v>56</v>
      </c>
      <c r="I20" t="s">
        <v>127</v>
      </c>
      <c r="J20">
        <v>56</v>
      </c>
      <c r="K20">
        <v>19</v>
      </c>
      <c r="L20" t="s">
        <v>126</v>
      </c>
      <c r="M20">
        <v>19</v>
      </c>
      <c r="N20">
        <v>18</v>
      </c>
      <c r="O20" t="s">
        <v>125</v>
      </c>
      <c r="P20">
        <v>18</v>
      </c>
    </row>
    <row r="21" spans="8:16" ht="12.75">
      <c r="H21">
        <v>64</v>
      </c>
      <c r="I21" t="s">
        <v>128</v>
      </c>
      <c r="J21">
        <v>64</v>
      </c>
      <c r="K21">
        <v>20</v>
      </c>
      <c r="L21" t="s">
        <v>127</v>
      </c>
      <c r="M21">
        <v>20</v>
      </c>
      <c r="N21">
        <v>19</v>
      </c>
      <c r="O21" t="s">
        <v>126</v>
      </c>
      <c r="P21">
        <v>19</v>
      </c>
    </row>
    <row r="22" spans="8:16" ht="12.75">
      <c r="H22">
        <v>72</v>
      </c>
      <c r="I22" t="s">
        <v>129</v>
      </c>
      <c r="J22">
        <v>72</v>
      </c>
      <c r="K22">
        <v>21</v>
      </c>
      <c r="L22" t="s">
        <v>128</v>
      </c>
      <c r="M22">
        <v>21</v>
      </c>
      <c r="N22">
        <v>20</v>
      </c>
      <c r="O22" t="s">
        <v>127</v>
      </c>
      <c r="P22">
        <v>20</v>
      </c>
    </row>
    <row r="23" spans="8:13" ht="12.75">
      <c r="H23">
        <v>84</v>
      </c>
      <c r="I23" t="s">
        <v>130</v>
      </c>
      <c r="J23">
        <v>84</v>
      </c>
      <c r="K23">
        <v>22</v>
      </c>
      <c r="L23" t="s">
        <v>129</v>
      </c>
      <c r="M23">
        <v>22</v>
      </c>
    </row>
    <row r="24" spans="11:13" ht="12.75">
      <c r="K24">
        <v>23</v>
      </c>
      <c r="L24" t="s">
        <v>142</v>
      </c>
      <c r="M24">
        <v>23</v>
      </c>
    </row>
    <row r="25" spans="11:13" ht="12.75">
      <c r="K25">
        <v>24</v>
      </c>
      <c r="L25" t="s">
        <v>130</v>
      </c>
      <c r="M25">
        <v>24</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1"/>
  <sheetViews>
    <sheetView zoomScalePageLayoutView="0" workbookViewId="0" topLeftCell="A1">
      <selection activeCell="F14" sqref="F14"/>
    </sheetView>
  </sheetViews>
  <sheetFormatPr defaultColWidth="9.140625" defaultRowHeight="12.75"/>
  <cols>
    <col min="1" max="1" width="14.421875" style="0" customWidth="1"/>
    <col min="3" max="3" width="9.00390625" style="0" bestFit="1" customWidth="1"/>
    <col min="6" max="6" width="13.00390625" style="0" customWidth="1"/>
    <col min="9" max="9" width="9.7109375" style="0" bestFit="1" customWidth="1"/>
  </cols>
  <sheetData>
    <row r="1" spans="2:10" ht="12.75">
      <c r="B1" t="s">
        <v>0</v>
      </c>
      <c r="C1" t="s">
        <v>1</v>
      </c>
      <c r="E1" s="10"/>
      <c r="F1" s="10" t="s">
        <v>2</v>
      </c>
      <c r="G1" s="10" t="s">
        <v>3</v>
      </c>
      <c r="H1" s="10" t="s">
        <v>4</v>
      </c>
      <c r="I1" s="10" t="s">
        <v>5</v>
      </c>
      <c r="J1" s="10" t="s">
        <v>6</v>
      </c>
    </row>
    <row r="2" spans="1:10" ht="12.75">
      <c r="A2" s="3" t="s">
        <v>50</v>
      </c>
      <c r="B2" s="2"/>
      <c r="C2" s="2"/>
      <c r="E2" s="10" t="s">
        <v>9</v>
      </c>
      <c r="F2" s="10">
        <f>'Main Page'!G9</f>
        <v>36</v>
      </c>
      <c r="G2" s="10">
        <f>'Main Page'!H9</f>
        <v>52</v>
      </c>
      <c r="H2" s="10">
        <f>'Main Page'!I9</f>
        <v>30.999999999990457</v>
      </c>
      <c r="I2" s="10">
        <f>'Main Page'!E9</f>
        <v>-36.875277777777775</v>
      </c>
      <c r="J2" s="10">
        <f>latdec*PI()/180</f>
        <v>-0.6435950098097201</v>
      </c>
    </row>
    <row r="3" spans="1:10" ht="12.75">
      <c r="A3" s="2" t="s">
        <v>7</v>
      </c>
      <c r="B3" s="2" t="s">
        <v>8</v>
      </c>
      <c r="C3" s="2">
        <f>'Main Page'!F3</f>
        <v>6378137</v>
      </c>
      <c r="E3" s="10" t="s">
        <v>12</v>
      </c>
      <c r="F3" s="10">
        <f>'Main Page'!G10</f>
        <v>4</v>
      </c>
      <c r="G3" s="10">
        <f>'Main Page'!H10</f>
        <v>5</v>
      </c>
      <c r="H3" s="10">
        <f>'Main Page'!I10</f>
        <v>15.999999999998254</v>
      </c>
      <c r="I3" s="10">
        <f>'Main Page'!E10</f>
        <v>-4.087777777777777</v>
      </c>
      <c r="J3" s="10">
        <f>londec*PI()/180</f>
        <v>-0.07134518131207931</v>
      </c>
    </row>
    <row r="4" spans="1:6" ht="12.75">
      <c r="A4" s="2" t="s">
        <v>10</v>
      </c>
      <c r="B4" s="2" t="s">
        <v>11</v>
      </c>
      <c r="C4" s="2">
        <f>'Main Page'!G3</f>
        <v>6356752.3142</v>
      </c>
      <c r="E4" t="s">
        <v>15</v>
      </c>
      <c r="F4">
        <f>'Main Page'!H12</f>
        <v>30</v>
      </c>
    </row>
    <row r="5" spans="1:10" ht="12.75">
      <c r="A5" s="2" t="s">
        <v>13</v>
      </c>
      <c r="B5" s="2" t="s">
        <v>14</v>
      </c>
      <c r="C5" s="2">
        <f>(a-b)/a</f>
        <v>0.0033528106718309896</v>
      </c>
      <c r="E5" t="s">
        <v>18</v>
      </c>
      <c r="F5">
        <f>'Main Page'!H13</f>
        <v>-3</v>
      </c>
      <c r="J5">
        <f>ZoneCM*PI()/180</f>
        <v>-0.05235987755982988</v>
      </c>
    </row>
    <row r="6" spans="1:10" ht="12.75">
      <c r="A6" s="2" t="s">
        <v>16</v>
      </c>
      <c r="B6" s="2" t="s">
        <v>17</v>
      </c>
      <c r="C6" s="2">
        <f>1/f</f>
        <v>298.2572229328697</v>
      </c>
      <c r="I6" t="s">
        <v>54</v>
      </c>
      <c r="J6">
        <f>'Main Page'!E10-'Main Page'!H13</f>
        <v>-1.0877777777777773</v>
      </c>
    </row>
    <row r="7" spans="1:3" ht="12.75">
      <c r="A7" s="2" t="s">
        <v>19</v>
      </c>
      <c r="B7" s="2" t="s">
        <v>20</v>
      </c>
      <c r="C7" s="2">
        <f>(a*b)^(1/2)</f>
        <v>6367435.679693565</v>
      </c>
    </row>
    <row r="8" spans="1:6" ht="12.75">
      <c r="A8" s="2"/>
      <c r="B8" s="2"/>
      <c r="C8" s="2"/>
      <c r="E8" s="11" t="s">
        <v>23</v>
      </c>
      <c r="F8" s="12">
        <f>(Ki+Kii*p*p+Kiii*p^4)</f>
        <v>-4081589.0204102993</v>
      </c>
    </row>
    <row r="9" spans="1:6" ht="12.75">
      <c r="A9" s="2" t="s">
        <v>21</v>
      </c>
      <c r="B9" s="2" t="s">
        <v>22</v>
      </c>
      <c r="C9" s="2">
        <v>0.9996</v>
      </c>
      <c r="E9" s="11" t="s">
        <v>26</v>
      </c>
      <c r="F9" s="12">
        <f>500000+(Kiv*p+Kv*p^3)</f>
        <v>403054.31257471786</v>
      </c>
    </row>
    <row r="10" spans="1:3" ht="12.75">
      <c r="A10" s="2" t="s">
        <v>24</v>
      </c>
      <c r="B10" s="2" t="s">
        <v>25</v>
      </c>
      <c r="C10" s="2">
        <f>SQRT(1-(b/a)^2)</f>
        <v>0.08181919092890692</v>
      </c>
    </row>
    <row r="11" spans="1:3" ht="12.75">
      <c r="A11" s="2"/>
      <c r="B11" s="2" t="s">
        <v>43</v>
      </c>
      <c r="C11" s="2">
        <f>e*e/(1-e*e)</f>
        <v>0.0067394967565870025</v>
      </c>
    </row>
    <row r="12" spans="1:10" ht="12.75">
      <c r="A12" s="2"/>
      <c r="B12" s="2" t="s">
        <v>27</v>
      </c>
      <c r="C12" s="2">
        <f>(a-b)/(a+b)</f>
        <v>0.0016792203899373642</v>
      </c>
      <c r="E12" t="s">
        <v>145</v>
      </c>
      <c r="F12">
        <f>8*MOD((F4-1),3)+1</f>
        <v>17</v>
      </c>
      <c r="G12" t="str">
        <f>VLOOKUP('Convert Lat, Long to UTM'!F12,Datums!K2:L25,2)</f>
        <v>S</v>
      </c>
      <c r="H12" t="s">
        <v>146</v>
      </c>
      <c r="I12">
        <f>F12+INT((F9)/100000)-1</f>
        <v>20</v>
      </c>
      <c r="J12" t="str">
        <f>VLOOKUP(I12,Datums!K2:L25,2)</f>
        <v>V</v>
      </c>
    </row>
    <row r="13" spans="1:10" ht="12.75">
      <c r="A13" s="2" t="s">
        <v>28</v>
      </c>
      <c r="B13" s="2" t="s">
        <v>29</v>
      </c>
      <c r="C13" s="2">
        <f>a*(1-e*e)/((1-(e*SIN(lat))^2)^(3/2))</f>
        <v>6358416.676897771</v>
      </c>
      <c r="E13" t="s">
        <v>147</v>
      </c>
      <c r="F13">
        <f>1+5*MOD(F4-1,2)</f>
        <v>6</v>
      </c>
      <c r="G13" t="str">
        <f>VLOOKUP('Convert Lat, Long to UTM'!F13,Datums!N3:O22,2)</f>
        <v>F</v>
      </c>
      <c r="H13" t="s">
        <v>146</v>
      </c>
      <c r="I13">
        <f>MOD(F13+INT(F8/100000),20)</f>
        <v>5</v>
      </c>
      <c r="J13" t="str">
        <f>VLOOKUP(I13,Datums!N2:O22,2)</f>
        <v>E</v>
      </c>
    </row>
    <row r="14" spans="1:3" ht="12.75">
      <c r="A14" s="2" t="s">
        <v>30</v>
      </c>
      <c r="B14" s="2" t="s">
        <v>31</v>
      </c>
      <c r="C14" s="2">
        <f>a/((1-(e*SIN(lat))^2)^(1/2))</f>
        <v>6385838.432137274</v>
      </c>
    </row>
    <row r="15" spans="1:3" ht="12.75">
      <c r="A15" s="4" t="s">
        <v>49</v>
      </c>
      <c r="B15" s="1"/>
      <c r="C15" s="1"/>
    </row>
    <row r="16" spans="1:3" ht="12.75">
      <c r="A16" s="1" t="s">
        <v>32</v>
      </c>
      <c r="B16" s="1" t="s">
        <v>33</v>
      </c>
      <c r="C16" s="1">
        <f>A0*lat-B0*SIN(2*lat)+C0*SIN(4*lat)-D0*SIN(6*lat)+E0*SIN(8*lat)</f>
        <v>-4082669.8180748215</v>
      </c>
    </row>
    <row r="17" spans="1:3" ht="12.75">
      <c r="A17" s="1"/>
      <c r="B17" s="1" t="s">
        <v>48</v>
      </c>
      <c r="C17" s="1">
        <f>a*(1-n+(5*n*n/4)*(1-n)+(81*n^4/64)*(1-n))</f>
        <v>6367449.145800845</v>
      </c>
    </row>
    <row r="18" spans="1:3" ht="12.75">
      <c r="A18" s="1"/>
      <c r="B18" s="1" t="s">
        <v>44</v>
      </c>
      <c r="C18" s="1">
        <f>(3*a*n/2)*(1-n-(7*n*n/8)*(1-n)+55*n^4/64)</f>
        <v>16038.429553159074</v>
      </c>
    </row>
    <row r="19" spans="1:3" ht="12.75">
      <c r="A19" s="1"/>
      <c r="B19" s="1" t="s">
        <v>45</v>
      </c>
      <c r="C19" s="1">
        <f>(15*a*n*n/16)*(1-n+(3*n*n/4)*(1-n))</f>
        <v>16.832613334334404</v>
      </c>
    </row>
    <row r="20" spans="1:3" ht="12.75">
      <c r="A20" s="1"/>
      <c r="B20" s="1" t="s">
        <v>46</v>
      </c>
      <c r="C20" s="1">
        <f>(35*a*n^3/48)*(1-n+11*n*n/16)</f>
        <v>0.02198440427375735</v>
      </c>
    </row>
    <row r="21" spans="1:3" ht="12.75">
      <c r="A21" s="1"/>
      <c r="B21" s="1" t="s">
        <v>47</v>
      </c>
      <c r="C21" s="1">
        <f>(315*a*n^4/51)*(1-n)</f>
        <v>0.0003127052179504484</v>
      </c>
    </row>
    <row r="22" spans="1:3" ht="12.75">
      <c r="A22" s="8" t="s">
        <v>53</v>
      </c>
      <c r="B22" s="9"/>
      <c r="C22" s="9"/>
    </row>
    <row r="23" spans="1:3" ht="12.75">
      <c r="A23" s="9" t="s">
        <v>52</v>
      </c>
      <c r="B23" s="9" t="s">
        <v>35</v>
      </c>
      <c r="C23" s="9">
        <f>(J6)*3600/10000</f>
        <v>-0.39159999999999984</v>
      </c>
    </row>
    <row r="24" spans="1:3" ht="12.75">
      <c r="A24" s="9"/>
      <c r="B24" s="9" t="s">
        <v>36</v>
      </c>
      <c r="C24" s="9">
        <f>PI()/(180*3600)</f>
        <v>4.84813681109536E-06</v>
      </c>
    </row>
    <row r="25" spans="1:3" ht="12.75">
      <c r="A25" s="6" t="s">
        <v>51</v>
      </c>
      <c r="B25" s="5"/>
      <c r="C25" s="5"/>
    </row>
    <row r="26" spans="1:3" ht="12.75">
      <c r="A26" s="5"/>
      <c r="B26" s="5" t="s">
        <v>37</v>
      </c>
      <c r="C26" s="5">
        <f>S*k0</f>
        <v>-4081036.750147592</v>
      </c>
    </row>
    <row r="27" spans="1:3" ht="12.75">
      <c r="A27" s="5"/>
      <c r="B27" s="5" t="s">
        <v>38</v>
      </c>
      <c r="C27" s="5">
        <f>nu*SIN(lat)*COS(lat)*Sin1^2*k0*(100000000)/2</f>
        <v>-3601.048159175671</v>
      </c>
    </row>
    <row r="28" spans="1:3" ht="12.75">
      <c r="A28" s="5"/>
      <c r="B28" s="5" t="s">
        <v>39</v>
      </c>
      <c r="C28" s="5">
        <f>((Sin1^4*nu*SIN(lat)*COS(lat)^3)/24)*(5-TAN(lat)^2+9*e1sq*COS(lat)^2+4*e1sq^2*COS(lat)^4)*k0*(10000000000000000)</f>
        <v>-2.0203314410760527</v>
      </c>
    </row>
    <row r="29" spans="1:3" ht="12.75">
      <c r="A29" s="5"/>
      <c r="B29" s="5" t="s">
        <v>40</v>
      </c>
      <c r="C29" s="5">
        <f>nu*COS(lat)*Sin1*k0*10000</f>
        <v>247558.84000213075</v>
      </c>
    </row>
    <row r="30" spans="1:3" ht="12.75">
      <c r="A30" s="5"/>
      <c r="B30" s="5" t="s">
        <v>41</v>
      </c>
      <c r="C30" s="5">
        <f>(Sin1*COS(lat))^3*(nu/6)*(1-TAN(lat)^2+e1sq*COS(lat)^2)*k0*(1000000000000)</f>
        <v>27.40422092081505</v>
      </c>
    </row>
    <row r="31" spans="1:3" ht="12.75">
      <c r="A31" s="5"/>
      <c r="B31" s="5" t="s">
        <v>42</v>
      </c>
      <c r="C31" s="5">
        <f>((p*Sin1)^6*nu*SIN(lat)*COS(lat)^5/720)*(61-58*TAN(lat)^2+TAN(lat)^4+270*e1sq*COS(lat)^2-330*e1sq*SIN(lat)^2)*k0*(1E+24)</f>
        <v>-2.370024960857152E-06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O34"/>
  <sheetViews>
    <sheetView zoomScalePageLayoutView="0" workbookViewId="0" topLeftCell="A1">
      <selection activeCell="E20" sqref="E20"/>
    </sheetView>
  </sheetViews>
  <sheetFormatPr defaultColWidth="9.140625" defaultRowHeight="12.75"/>
  <cols>
    <col min="1" max="1" width="3.7109375" style="0" customWidth="1"/>
    <col min="2" max="2" width="19.28125" style="0" customWidth="1"/>
    <col min="3" max="3" width="3.7109375" style="0" customWidth="1"/>
    <col min="4" max="4" width="10.7109375" style="0" bestFit="1" customWidth="1"/>
    <col min="5" max="5" width="13.421875" style="0" customWidth="1"/>
    <col min="6" max="7" width="10.7109375" style="0" bestFit="1" customWidth="1"/>
    <col min="11" max="11" width="3.8515625" style="0" customWidth="1"/>
    <col min="13" max="13" width="12.28125" style="0" bestFit="1" customWidth="1"/>
    <col min="14" max="14" width="13.140625" style="0" bestFit="1" customWidth="1"/>
  </cols>
  <sheetData>
    <row r="1" spans="2:4" ht="12.75">
      <c r="B1" s="7" t="s">
        <v>108</v>
      </c>
      <c r="D1" s="65" t="s">
        <v>191</v>
      </c>
    </row>
    <row r="2" spans="3:13" ht="12.75">
      <c r="C2" s="18"/>
      <c r="D2" s="14" t="s">
        <v>103</v>
      </c>
      <c r="E2" s="14" t="s">
        <v>91</v>
      </c>
      <c r="F2" s="14" t="s">
        <v>8</v>
      </c>
      <c r="G2" s="14" t="s">
        <v>11</v>
      </c>
      <c r="H2" s="14" t="s">
        <v>14</v>
      </c>
      <c r="I2" s="14" t="s">
        <v>17</v>
      </c>
      <c r="J2" s="14"/>
      <c r="K2" s="14"/>
      <c r="M2" t="s">
        <v>206</v>
      </c>
    </row>
    <row r="3" spans="4:13" ht="12.75">
      <c r="D3" s="28">
        <v>1</v>
      </c>
      <c r="E3" s="34" t="str">
        <f>VLOOKUP($D$3,DatumList,2)</f>
        <v>WGS 84</v>
      </c>
      <c r="F3" s="30">
        <f>VLOOKUP($D$3,DatumList,3)</f>
        <v>6378137</v>
      </c>
      <c r="G3" s="30">
        <f>VLOOKUP($D$3,DatumList,4)</f>
        <v>6356752.3142</v>
      </c>
      <c r="H3" s="29">
        <f>VLOOKUP($D$3,DatumList,5)</f>
        <v>0.0033528106647474805</v>
      </c>
      <c r="I3" s="31">
        <f>VLOOKUP($D$3,DatumList,6)</f>
        <v>298.257223563</v>
      </c>
      <c r="J3" s="14"/>
      <c r="K3" s="14"/>
      <c r="M3" t="s">
        <v>207</v>
      </c>
    </row>
    <row r="5" spans="4:13" ht="12.75">
      <c r="D5" s="19" t="s">
        <v>137</v>
      </c>
      <c r="E5" s="19"/>
      <c r="F5" s="19"/>
      <c r="G5" s="23"/>
      <c r="H5" s="23"/>
      <c r="I5" s="23"/>
      <c r="J5" s="23"/>
      <c r="K5" s="23"/>
      <c r="L5" t="s">
        <v>138</v>
      </c>
      <c r="M5" t="s">
        <v>208</v>
      </c>
    </row>
    <row r="6" spans="4:12" ht="13.5" thickBot="1">
      <c r="D6" s="11"/>
      <c r="E6" s="11" t="s">
        <v>110</v>
      </c>
      <c r="F6" s="11" t="s">
        <v>5</v>
      </c>
      <c r="G6" s="11"/>
      <c r="H6" s="11" t="s">
        <v>104</v>
      </c>
      <c r="I6" s="11" t="s">
        <v>105</v>
      </c>
      <c r="J6" s="11" t="s">
        <v>106</v>
      </c>
      <c r="K6" s="11"/>
      <c r="L6">
        <f>IF(E7="N",F7,-F7)</f>
        <v>0</v>
      </c>
    </row>
    <row r="7" spans="4:12" ht="12.75">
      <c r="D7" s="11" t="s">
        <v>9</v>
      </c>
      <c r="E7" s="42" t="s">
        <v>33</v>
      </c>
      <c r="F7" s="35"/>
      <c r="G7" s="11"/>
      <c r="H7" s="36">
        <v>36</v>
      </c>
      <c r="I7" s="37">
        <v>52</v>
      </c>
      <c r="J7" s="38">
        <v>31</v>
      </c>
      <c r="K7" s="33"/>
      <c r="L7">
        <f>IF(E7="N",H7+I7/60+J7/3600,-(H7+I7/60+J7/3600))</f>
        <v>-36.875277777777775</v>
      </c>
    </row>
    <row r="8" spans="4:12" ht="13.5" thickBot="1">
      <c r="D8" s="11" t="s">
        <v>12</v>
      </c>
      <c r="E8" s="43" t="s">
        <v>128</v>
      </c>
      <c r="F8" s="46"/>
      <c r="G8" s="11"/>
      <c r="H8" s="39">
        <v>4</v>
      </c>
      <c r="I8" s="40">
        <v>5</v>
      </c>
      <c r="J8" s="41">
        <v>16</v>
      </c>
      <c r="K8" s="33"/>
      <c r="L8" t="s">
        <v>136</v>
      </c>
    </row>
    <row r="9" spans="4:12" ht="12.75">
      <c r="D9" s="11" t="s">
        <v>9</v>
      </c>
      <c r="E9" s="11">
        <f>IF(F7&lt;&gt;"",L6,L7)</f>
        <v>-36.875277777777775</v>
      </c>
      <c r="F9" s="11"/>
      <c r="G9" s="11">
        <f>ABS(TRUNC(E9,0))</f>
        <v>36</v>
      </c>
      <c r="H9" s="11">
        <f>ABS(TRUNC((60*(ABS(E9)-G9)),0))</f>
        <v>52</v>
      </c>
      <c r="I9" s="11">
        <f>3600*(ABS(E9)-G9-H9/60)</f>
        <v>30.999999999990457</v>
      </c>
      <c r="J9" s="11" t="str">
        <f>E7</f>
        <v>S</v>
      </c>
      <c r="K9" s="11"/>
      <c r="L9">
        <f>IF(E8="E",F8,-F8)</f>
        <v>0</v>
      </c>
    </row>
    <row r="10" spans="4:14" ht="12.75">
      <c r="D10" s="11" t="s">
        <v>12</v>
      </c>
      <c r="E10" s="11">
        <f>IF(F8&lt;&gt;"",L9,L10)</f>
        <v>-4.087777777777777</v>
      </c>
      <c r="F10" s="11"/>
      <c r="G10" s="11">
        <f>ABS(TRUNC(E10,0))</f>
        <v>4</v>
      </c>
      <c r="H10" s="11">
        <f>ABS(TRUNC((60*(ABS(E10)-G10)),0))</f>
        <v>5</v>
      </c>
      <c r="I10" s="11">
        <f>3600*(ABS(E10)-G10-H10/60)</f>
        <v>15.999999999998254</v>
      </c>
      <c r="J10" s="11" t="str">
        <f>E8</f>
        <v>W</v>
      </c>
      <c r="K10" s="11"/>
      <c r="L10">
        <f>IF(E8="E",H8+I8/60+J8/3600,-(H8+I8/60+J8/3600))</f>
        <v>-4.087777777777777</v>
      </c>
      <c r="N10" s="56"/>
    </row>
    <row r="11" spans="4:14" ht="12.75">
      <c r="D11" s="18"/>
      <c r="E11" s="18"/>
      <c r="F11" s="18"/>
      <c r="G11" s="18"/>
      <c r="H11" s="18"/>
      <c r="N11" s="56"/>
    </row>
    <row r="12" spans="2:11" ht="12.75">
      <c r="B12" s="18"/>
      <c r="D12" s="11" t="s">
        <v>26</v>
      </c>
      <c r="E12" s="12">
        <f>'Convert Lat, Long to UTM'!F9</f>
        <v>403054.31257471786</v>
      </c>
      <c r="F12" s="11"/>
      <c r="G12" s="11" t="s">
        <v>15</v>
      </c>
      <c r="H12" s="11">
        <f>IF(E8="W",INT((180+E10)/6)+1,INT(E10/6)+31)</f>
        <v>30</v>
      </c>
      <c r="I12" s="11" t="str">
        <f>VLOOKUP(E9,LatZones,2)</f>
        <v>H</v>
      </c>
      <c r="J12" s="11"/>
      <c r="K12" s="11"/>
    </row>
    <row r="13" spans="2:11" ht="12.75">
      <c r="B13" s="18"/>
      <c r="D13" s="11" t="s">
        <v>56</v>
      </c>
      <c r="E13" s="12">
        <f>IF(E7="N",'Convert Lat, Long to UTM'!F8,10000000+'Convert Lat, Long to UTM'!F8)</f>
        <v>5918410.979589701</v>
      </c>
      <c r="F13" s="11"/>
      <c r="G13" s="11" t="s">
        <v>18</v>
      </c>
      <c r="H13" s="11">
        <f>6*H12-183</f>
        <v>-3</v>
      </c>
      <c r="I13" s="11"/>
      <c r="J13" s="11"/>
      <c r="K13" s="11"/>
    </row>
    <row r="14" spans="4:14" ht="12.75">
      <c r="D14" s="45" t="s">
        <v>144</v>
      </c>
      <c r="E14" s="44"/>
      <c r="F14" s="44" t="str">
        <f>CONCATENATE(H12," ",I12,"   ",'Convert Lat, Long to UTM'!J12,'Convert Lat, Long to UTM'!J13)</f>
        <v>30 H   VE</v>
      </c>
      <c r="G14" s="44" t="str">
        <f>RIGHT(INT(E12),5)</f>
        <v>03054</v>
      </c>
      <c r="H14" s="44" t="str">
        <f>RIGHT(INT(E13),5)</f>
        <v>18410</v>
      </c>
      <c r="I14" s="44"/>
      <c r="J14" s="44"/>
      <c r="K14" s="44"/>
      <c r="N14" s="56"/>
    </row>
    <row r="15" ht="12.75">
      <c r="B15" s="24" t="s">
        <v>109</v>
      </c>
    </row>
    <row r="16" spans="4:11" ht="12.75">
      <c r="D16" s="20" t="s">
        <v>132</v>
      </c>
      <c r="E16" s="21"/>
      <c r="F16" s="21"/>
      <c r="G16" s="21"/>
      <c r="H16" s="21"/>
      <c r="I16" s="21"/>
      <c r="J16" s="21"/>
      <c r="K16" s="21"/>
    </row>
    <row r="17" spans="2:15" ht="12.75">
      <c r="B17" s="32" t="s">
        <v>134</v>
      </c>
      <c r="D17" s="1" t="s">
        <v>26</v>
      </c>
      <c r="E17" s="25">
        <v>663597</v>
      </c>
      <c r="F17" s="1"/>
      <c r="G17" s="1"/>
      <c r="H17" s="1"/>
      <c r="I17" s="1"/>
      <c r="J17" s="1"/>
      <c r="K17" s="1"/>
      <c r="L17">
        <v>26</v>
      </c>
      <c r="M17">
        <f>G22/60</f>
        <v>0.6166666666666667</v>
      </c>
      <c r="N17">
        <f>H22/3600</f>
        <v>0.007111049146839132</v>
      </c>
      <c r="O17">
        <f>L17+M17+N17</f>
        <v>26.623777715813507</v>
      </c>
    </row>
    <row r="18" spans="4:11" ht="12.75">
      <c r="D18" s="1" t="s">
        <v>56</v>
      </c>
      <c r="E18" s="25">
        <v>732403</v>
      </c>
      <c r="F18" s="1" t="s">
        <v>133</v>
      </c>
      <c r="G18" s="1"/>
      <c r="H18" s="18" t="s">
        <v>111</v>
      </c>
      <c r="I18" s="1"/>
      <c r="J18" s="1"/>
      <c r="K18" s="1"/>
    </row>
    <row r="19" spans="4:11" ht="12.75">
      <c r="D19" s="1" t="s">
        <v>107</v>
      </c>
      <c r="E19" s="26">
        <v>47</v>
      </c>
      <c r="F19" s="1" t="s">
        <v>131</v>
      </c>
      <c r="G19" s="1"/>
      <c r="H19" s="18">
        <f>IF(E19&gt;0,6*E19-183,3)</f>
        <v>99</v>
      </c>
      <c r="I19" s="18" t="str">
        <f>IF(E19&lt;31,"W","E")</f>
        <v>E</v>
      </c>
      <c r="J19" s="1"/>
      <c r="K19" s="1"/>
    </row>
    <row r="20" spans="4:11" ht="12.75">
      <c r="D20" s="1"/>
      <c r="E20" s="1"/>
      <c r="F20" s="1"/>
      <c r="G20" s="1"/>
      <c r="H20" s="1"/>
      <c r="I20" s="1"/>
      <c r="J20" s="1"/>
      <c r="K20" s="1"/>
    </row>
    <row r="21" spans="4:11" ht="12.75">
      <c r="D21" s="1"/>
      <c r="E21" s="1" t="s">
        <v>5</v>
      </c>
      <c r="F21" s="1" t="s">
        <v>104</v>
      </c>
      <c r="G21" s="1" t="s">
        <v>105</v>
      </c>
      <c r="H21" s="1" t="s">
        <v>106</v>
      </c>
      <c r="I21" s="1"/>
      <c r="J21" s="1"/>
      <c r="K21" s="1"/>
    </row>
    <row r="22" spans="4:11" ht="12.75">
      <c r="D22" s="1" t="s">
        <v>9</v>
      </c>
      <c r="E22">
        <f>IF(I22="N",'Convert UTM to Lat, Long'!F6,-'Convert UTM to Lat, Long'!F6)</f>
        <v>6.623777715813506</v>
      </c>
      <c r="F22">
        <f>ABS('Convert UTM to Lat, Long'!G6)</f>
        <v>6</v>
      </c>
      <c r="G22">
        <f>ABS('Convert UTM to Lat, Long'!H6)</f>
        <v>37</v>
      </c>
      <c r="H22" s="27">
        <f>ABS('Convert UTM to Lat, Long'!I6)</f>
        <v>25.599776928620877</v>
      </c>
      <c r="I22" s="1" t="str">
        <f>H18</f>
        <v>N</v>
      </c>
      <c r="J22" s="1"/>
      <c r="K22" s="1"/>
    </row>
    <row r="23" spans="4:11" ht="12.75">
      <c r="D23" s="1" t="s">
        <v>12</v>
      </c>
      <c r="E23">
        <f>'Convert UTM to Lat, Long'!F7</f>
        <v>100.47985735075653</v>
      </c>
      <c r="F23">
        <f>ABS('Convert UTM to Lat, Long'!G7)</f>
        <v>100</v>
      </c>
      <c r="G23">
        <f>ABS('Convert UTM to Lat, Long'!H7)</f>
        <v>28</v>
      </c>
      <c r="H23" s="27">
        <f>ABS('Convert UTM to Lat, Long'!I7)</f>
        <v>47.48646272351604</v>
      </c>
      <c r="I23" s="1" t="str">
        <f>I19</f>
        <v>E</v>
      </c>
      <c r="J23" s="1"/>
      <c r="K23" s="1"/>
    </row>
    <row r="24" spans="4:11" ht="12.75" customHeight="1">
      <c r="D24" s="1"/>
      <c r="E24" s="1"/>
      <c r="F24" s="1"/>
      <c r="G24" s="1"/>
      <c r="H24" s="1"/>
      <c r="I24" s="1"/>
      <c r="J24" s="1"/>
      <c r="K24" s="1"/>
    </row>
    <row r="25" ht="12.75" customHeight="1"/>
    <row r="26" spans="4:15" ht="12.75">
      <c r="D26" s="48" t="s">
        <v>148</v>
      </c>
      <c r="E26" s="47"/>
      <c r="F26" s="47"/>
      <c r="G26" s="47"/>
      <c r="H26" s="47"/>
      <c r="I26" s="47"/>
      <c r="J26" s="47"/>
      <c r="K26" s="47"/>
      <c r="M26" s="47"/>
      <c r="N26" s="47"/>
      <c r="O26" s="47"/>
    </row>
    <row r="27" spans="4:15" ht="12.75">
      <c r="D27" s="44"/>
      <c r="E27" s="44" t="s">
        <v>149</v>
      </c>
      <c r="F27" s="44" t="s">
        <v>150</v>
      </c>
      <c r="G27" s="44" t="s">
        <v>146</v>
      </c>
      <c r="H27" s="44" t="s">
        <v>26</v>
      </c>
      <c r="I27" s="44" t="s">
        <v>56</v>
      </c>
      <c r="J27" s="44"/>
      <c r="K27" s="44"/>
      <c r="M27" s="44"/>
      <c r="N27" s="44"/>
      <c r="O27" s="44"/>
    </row>
    <row r="28" spans="4:15" ht="12.75">
      <c r="D28" s="44"/>
      <c r="E28" s="51">
        <v>10</v>
      </c>
      <c r="F28" s="52" t="s">
        <v>218</v>
      </c>
      <c r="G28" s="18" t="s">
        <v>219</v>
      </c>
      <c r="H28" s="50">
        <v>81496</v>
      </c>
      <c r="I28" s="50">
        <v>0</v>
      </c>
      <c r="J28" s="44"/>
      <c r="K28" s="44"/>
      <c r="M28" s="44" t="s">
        <v>151</v>
      </c>
      <c r="N28" s="18">
        <f>'Convert MGR to LatLong'!G8</f>
        <v>781496</v>
      </c>
      <c r="O28" s="44"/>
    </row>
    <row r="29" spans="4:15" ht="12.75">
      <c r="D29" s="44" t="s">
        <v>153</v>
      </c>
      <c r="E29" s="44"/>
      <c r="F29" s="44"/>
      <c r="G29" s="44"/>
      <c r="H29" s="44"/>
      <c r="I29" s="44"/>
      <c r="J29" s="44"/>
      <c r="K29" s="44"/>
      <c r="M29" s="44" t="s">
        <v>152</v>
      </c>
      <c r="N29" s="18">
        <f>'Convert MGR to LatLong'!G26</f>
        <v>2900000</v>
      </c>
      <c r="O29" s="44"/>
    </row>
    <row r="30" spans="4:15" ht="12.75">
      <c r="D30" s="44"/>
      <c r="E30" s="44" t="s">
        <v>5</v>
      </c>
      <c r="F30" s="44" t="s">
        <v>104</v>
      </c>
      <c r="G30" s="44" t="s">
        <v>105</v>
      </c>
      <c r="H30" s="44" t="s">
        <v>106</v>
      </c>
      <c r="I30" s="44"/>
      <c r="J30" s="44"/>
      <c r="K30" s="72" t="s">
        <v>212</v>
      </c>
      <c r="M30" s="44"/>
      <c r="N30" s="44"/>
      <c r="O30" s="44"/>
    </row>
    <row r="31" spans="4:15" ht="12.75">
      <c r="D31" s="44" t="s">
        <v>9</v>
      </c>
      <c r="E31" s="18">
        <f>'Convert MGR to LatLong'!F29</f>
        <v>26.191875303040376</v>
      </c>
      <c r="F31" s="18">
        <f>ROUND(E31,0)</f>
        <v>26</v>
      </c>
      <c r="G31" s="18">
        <f>INT(60*ABS(E31-F31))</f>
        <v>11</v>
      </c>
      <c r="H31" s="49">
        <f>MOD(3600*ABS(E31-F31),60)</f>
        <v>30.751090945354917</v>
      </c>
      <c r="I31" s="18"/>
      <c r="J31" s="44"/>
      <c r="K31" s="44" t="str">
        <f>IF('Convert MGR to LatLong'!I7=1,"Valid Digraph","Invalid Digraph")</f>
        <v>Valid Digraph</v>
      </c>
      <c r="M31" s="44"/>
      <c r="N31" s="44"/>
      <c r="O31" s="44"/>
    </row>
    <row r="32" spans="4:15" ht="12.75">
      <c r="D32" s="44" t="s">
        <v>12</v>
      </c>
      <c r="E32" s="18">
        <f>'Convert MGR to LatLong'!F30</f>
        <v>-120.18332707439525</v>
      </c>
      <c r="F32" s="18">
        <f>ROUND(E32,0)</f>
        <v>-120</v>
      </c>
      <c r="G32" s="18">
        <f>INT(60*ABS(E32-F32))</f>
        <v>10</v>
      </c>
      <c r="H32" s="49">
        <f>MOD(3600*ABS(E32-F32),60)</f>
        <v>59.97746782290392</v>
      </c>
      <c r="I32" s="18"/>
      <c r="J32" s="44"/>
      <c r="K32" s="44" t="str">
        <f>IF('Convert MGR to LatLong'!I2=1,"Valid Latitude Zone","Invalid Latitude Zone")</f>
        <v>Valid Latitude Zone</v>
      </c>
      <c r="M32" s="44"/>
      <c r="N32" s="44"/>
      <c r="O32" s="44"/>
    </row>
    <row r="33" spans="4:15" ht="12.75">
      <c r="D33" s="44"/>
      <c r="E33" s="44"/>
      <c r="F33" s="44"/>
      <c r="G33" s="44"/>
      <c r="H33" s="44"/>
      <c r="I33" s="44"/>
      <c r="J33" s="44"/>
      <c r="K33" s="44"/>
      <c r="M33" s="44"/>
      <c r="N33" s="44"/>
      <c r="O33" s="44"/>
    </row>
    <row r="34" ht="12.75">
      <c r="B34" s="71"/>
    </row>
  </sheetData>
  <sheetProtection/>
  <conditionalFormatting sqref="F28">
    <cfRule type="cellIs" priority="1" dxfId="0" operator="between" stopIfTrue="1">
      <formula>"A"</formula>
      <formula>"Z"</formula>
    </cfRule>
  </conditionalFormatting>
  <dataValidations count="12">
    <dataValidation type="list" allowBlank="1" showInputMessage="1" showErrorMessage="1" sqref="H18 K7 E7">
      <formula1>"N,S"</formula1>
    </dataValidation>
    <dataValidation type="decimal" allowBlank="1" showInputMessage="1" showErrorMessage="1" sqref="E17">
      <formula1>100000</formula1>
      <formula2>900000</formula2>
    </dataValidation>
    <dataValidation type="decimal" allowBlank="1" showInputMessage="1" showErrorMessage="1" sqref="E18">
      <formula1>-10002000</formula1>
      <formula2>10002000</formula2>
    </dataValidation>
    <dataValidation type="whole" allowBlank="1" showInputMessage="1" showErrorMessage="1" sqref="E19 E28">
      <formula1>1</formula1>
      <formula2>60</formula2>
    </dataValidation>
    <dataValidation type="list" allowBlank="1" showInputMessage="1" showErrorMessage="1" sqref="E8 K8">
      <formula1>"E,W"</formula1>
    </dataValidation>
    <dataValidation type="whole" allowBlank="1" showInputMessage="1" showErrorMessage="1" sqref="H7">
      <formula1>0</formula1>
      <formula2>90</formula2>
    </dataValidation>
    <dataValidation type="whole" allowBlank="1" showInputMessage="1" showErrorMessage="1" sqref="H8">
      <formula1>0</formula1>
      <formula2>180</formula2>
    </dataValidation>
    <dataValidation type="whole" allowBlank="1" showInputMessage="1" showErrorMessage="1" sqref="I7:I8">
      <formula1>0</formula1>
      <formula2>60</formula2>
    </dataValidation>
    <dataValidation type="decimal" allowBlank="1" showInputMessage="1" showErrorMessage="1" sqref="J7:J8">
      <formula1>0</formula1>
      <formula2>60</formula2>
    </dataValidation>
    <dataValidation type="decimal" allowBlank="1" showInputMessage="1" showErrorMessage="1" sqref="F7">
      <formula1>0</formula1>
      <formula2>90</formula2>
    </dataValidation>
    <dataValidation type="decimal" allowBlank="1" showInputMessage="1" showErrorMessage="1" sqref="F8">
      <formula1>0</formula1>
      <formula2>180</formula2>
    </dataValidation>
    <dataValidation type="whole" allowBlank="1" showInputMessage="1" showErrorMessage="1" sqref="H28:I28">
      <formula1>0</formula1>
      <formula2>99999</formula2>
    </dataValidation>
  </dataValidations>
  <hyperlinks>
    <hyperlink ref="D1" r:id="rId1" display="How to Use This Spreadsheet"/>
  </hyperlinks>
  <printOptions/>
  <pageMargins left="0.75" right="0.75" top="1" bottom="1" header="0.5" footer="0.5"/>
  <pageSetup horizontalDpi="300" verticalDpi="300" orientation="portrait" r:id="rId4"/>
  <legacyDrawing r:id="rId3"/>
</worksheet>
</file>

<file path=xl/worksheets/sheet4.xml><?xml version="1.0" encoding="utf-8"?>
<worksheet xmlns="http://schemas.openxmlformats.org/spreadsheetml/2006/main" xmlns:r="http://schemas.openxmlformats.org/officeDocument/2006/relationships">
  <dimension ref="A1:AL40"/>
  <sheetViews>
    <sheetView tabSelected="1" zoomScalePageLayoutView="0" workbookViewId="0" topLeftCell="A1">
      <selection activeCell="AB2" sqref="AB2:AC13"/>
    </sheetView>
  </sheetViews>
  <sheetFormatPr defaultColWidth="9.140625" defaultRowHeight="12.75"/>
  <cols>
    <col min="4" max="4" width="3.28125" style="11" customWidth="1"/>
    <col min="5" max="5" width="3.00390625" style="11" customWidth="1"/>
    <col min="6" max="6" width="12.7109375" style="12" bestFit="1" customWidth="1"/>
    <col min="7" max="7" width="10.140625" style="12" customWidth="1"/>
    <col min="8" max="8" width="3.28125" style="58" customWidth="1"/>
    <col min="9" max="27" width="3.28125" style="23" customWidth="1"/>
    <col min="28" max="28" width="9.140625" style="10" customWidth="1"/>
    <col min="29" max="29" width="12.421875" style="10" bestFit="1" customWidth="1"/>
    <col min="30" max="30" width="3.57421875" style="67" bestFit="1" customWidth="1"/>
    <col min="31" max="31" width="3.28125" style="67" bestFit="1" customWidth="1"/>
    <col min="32" max="32" width="9.140625" style="67" customWidth="1"/>
    <col min="33" max="33" width="4.57421875" style="22" bestFit="1" customWidth="1"/>
    <col min="34" max="34" width="3.28125" style="22" bestFit="1" customWidth="1"/>
    <col min="35" max="35" width="9.140625" style="22" customWidth="1"/>
    <col min="37" max="38" width="10.140625" style="0" bestFit="1" customWidth="1"/>
  </cols>
  <sheetData>
    <row r="1" spans="18:22" ht="12.75">
      <c r="R1" s="19" t="s">
        <v>89</v>
      </c>
      <c r="V1" s="19" t="s">
        <v>90</v>
      </c>
    </row>
    <row r="2" spans="1:35" ht="107.25">
      <c r="A2" s="65" t="s">
        <v>191</v>
      </c>
      <c r="D2" s="57" t="s">
        <v>188</v>
      </c>
      <c r="E2" s="57" t="s">
        <v>187</v>
      </c>
      <c r="F2" s="12" t="s">
        <v>23</v>
      </c>
      <c r="G2" s="12" t="s">
        <v>26</v>
      </c>
      <c r="H2" s="59" t="s">
        <v>189</v>
      </c>
      <c r="I2" s="60" t="s">
        <v>185</v>
      </c>
      <c r="J2" s="60" t="s">
        <v>86</v>
      </c>
      <c r="K2" s="60" t="s">
        <v>65</v>
      </c>
      <c r="L2" s="60" t="s">
        <v>186</v>
      </c>
      <c r="M2" s="60" t="s">
        <v>34</v>
      </c>
      <c r="N2" s="60" t="s">
        <v>72</v>
      </c>
      <c r="O2" s="60" t="s">
        <v>73</v>
      </c>
      <c r="P2" s="60" t="s">
        <v>74</v>
      </c>
      <c r="Q2" s="60" t="s">
        <v>75</v>
      </c>
      <c r="R2" s="60" t="s">
        <v>77</v>
      </c>
      <c r="S2" s="60" t="s">
        <v>78</v>
      </c>
      <c r="T2" s="60" t="s">
        <v>79</v>
      </c>
      <c r="U2" s="60" t="s">
        <v>80</v>
      </c>
      <c r="V2" s="60" t="s">
        <v>81</v>
      </c>
      <c r="W2" s="60" t="s">
        <v>82</v>
      </c>
      <c r="X2" s="60" t="s">
        <v>83</v>
      </c>
      <c r="Y2" s="60" t="s">
        <v>54</v>
      </c>
      <c r="Z2" s="60" t="s">
        <v>18</v>
      </c>
      <c r="AA2" s="60" t="s">
        <v>190</v>
      </c>
      <c r="AB2" s="10" t="s">
        <v>9</v>
      </c>
      <c r="AC2" s="10" t="s">
        <v>12</v>
      </c>
      <c r="AD2" s="68" t="s">
        <v>200</v>
      </c>
      <c r="AE2" s="68" t="s">
        <v>201</v>
      </c>
      <c r="AF2" s="68" t="s">
        <v>202</v>
      </c>
      <c r="AG2" s="69" t="s">
        <v>203</v>
      </c>
      <c r="AH2" s="69" t="s">
        <v>204</v>
      </c>
      <c r="AI2" s="69" t="s">
        <v>205</v>
      </c>
    </row>
    <row r="3" spans="1:35" ht="12.75">
      <c r="A3" t="s">
        <v>91</v>
      </c>
      <c r="B3" t="str">
        <f>'Main Page'!E3</f>
        <v>WGS 84</v>
      </c>
      <c r="D3" s="11" t="s">
        <v>111</v>
      </c>
      <c r="E3" s="11">
        <v>47</v>
      </c>
      <c r="F3" s="12">
        <v>726841.522</v>
      </c>
      <c r="G3" s="12">
        <v>655942.745</v>
      </c>
      <c r="H3" s="58">
        <f>IF(D3="N",F3,10000000-F3)</f>
        <v>726841.522</v>
      </c>
      <c r="I3" s="23">
        <f>500000-G3</f>
        <v>-155942.745</v>
      </c>
      <c r="J3" s="23">
        <f aca="true" t="shared" si="0" ref="J3:J18">F3/k0</f>
        <v>727132.37494998</v>
      </c>
      <c r="K3" s="23">
        <f aca="true" t="shared" si="1" ref="K3:K18">J3/(a*(1-e^2/4-3*e^4/64-5*e^6/256))</f>
        <v>0.114195238671645</v>
      </c>
      <c r="L3" s="23">
        <f>K3+B$14*SIN(2*K3)+B$15*SIN(4*K3)+B$16*SIN(6*K3)+B$17*SIN(8*K3)</f>
        <v>0.11476716350071386</v>
      </c>
      <c r="M3" s="23">
        <f aca="true" t="shared" si="2" ref="M3:M18">eisq*COS(L3)^2</f>
        <v>0.006651116520622581</v>
      </c>
      <c r="N3" s="23">
        <f>TAN(L3)^2</f>
        <v>0.013288030015770858</v>
      </c>
      <c r="O3" s="23">
        <f aca="true" t="shared" si="3" ref="O3:O18">a/(1-(e*SIN(L3))^2)^(1/2)</f>
        <v>6378416.982245907</v>
      </c>
      <c r="P3" s="23">
        <f aca="true" t="shared" si="4" ref="P3:P18">a*(1-e*e)/(1-(e*SIN(L3))^2)^(3/2)</f>
        <v>6336273.68764284</v>
      </c>
      <c r="Q3" s="23">
        <f aca="true" t="shared" si="5" ref="Q3:Q18">I3/(O3*k0)</f>
        <v>-0.024458286043866087</v>
      </c>
      <c r="R3" s="23">
        <f>O3*TAN(L3)/P3</f>
        <v>0.11604041673032385</v>
      </c>
      <c r="S3" s="23">
        <f>Q3*Q3/2</f>
        <v>0.0002991038781017873</v>
      </c>
      <c r="T3" s="23">
        <f aca="true" t="shared" si="6" ref="T3:T18">(5+3*N3+10*M3-4*M3*M3-9*eisq)*Q3^4/24</f>
        <v>7.523167567411195E-08</v>
      </c>
      <c r="U3" s="23">
        <f aca="true" t="shared" si="7" ref="U3:U18">(61+90*N3+298*M3+45*N3*N3-252*eisq-3*M3*M3)*Q3^6/720</f>
        <v>1.8578736849783978E-11</v>
      </c>
      <c r="V3" s="23">
        <f>Q3</f>
        <v>-0.024458286043866087</v>
      </c>
      <c r="W3" s="23">
        <f>(1+2*N3+M3)*Q3^3/6</f>
        <v>-2.5195479612837607E-06</v>
      </c>
      <c r="X3" s="23">
        <f aca="true" t="shared" si="8" ref="X3:X18">(5-2*M3+28*N3-3*M3^2+8*e1sq+24*N3^2)*Q3^5/120</f>
        <v>-3.950848153343392E-10</v>
      </c>
      <c r="Y3" s="23">
        <f>(V3-W3+X3)/COS(L3)</f>
        <v>-0.024617715155334646</v>
      </c>
      <c r="Z3" s="23">
        <f>6*E3-183</f>
        <v>99</v>
      </c>
      <c r="AA3" s="23">
        <f>180*(L3-R3*(S3+T3+U3))/PI()</f>
        <v>6.573684965107956</v>
      </c>
      <c r="AB3" s="10">
        <f>IF(D3="N",AA3,-AA3)</f>
        <v>6.573684965107956</v>
      </c>
      <c r="AC3" s="10">
        <f>Z3-Y3*180/PI()</f>
        <v>100.41049117965592</v>
      </c>
      <c r="AD3" s="67">
        <f>TRUNC(AB3)</f>
        <v>6</v>
      </c>
      <c r="AE3" s="67">
        <f>ABS(INT(60*(AB3-AD3)))</f>
        <v>34</v>
      </c>
      <c r="AF3" s="67">
        <f>3600*(ABS(AB3)-ABS(AD3)-AE3/60)</f>
        <v>25.26587438864274</v>
      </c>
      <c r="AG3" s="22">
        <f>TRUNC(AC3)</f>
        <v>100</v>
      </c>
      <c r="AH3" s="70">
        <f>INT(ABS((60*(AC3-AG3))))</f>
        <v>24</v>
      </c>
      <c r="AI3" s="22">
        <f>3600*(ABS(AC3)-ABS(AG3)-AH3/60)</f>
        <v>37.76824676131461</v>
      </c>
    </row>
    <row r="4" spans="2:35" ht="12.75">
      <c r="B4" t="s">
        <v>0</v>
      </c>
      <c r="C4" t="s">
        <v>1</v>
      </c>
      <c r="D4" s="11" t="s">
        <v>111</v>
      </c>
      <c r="E4" s="11">
        <v>47</v>
      </c>
      <c r="F4" s="12">
        <v>728860.78</v>
      </c>
      <c r="G4" s="12">
        <v>652869.961</v>
      </c>
      <c r="H4" s="58">
        <f aca="true" t="shared" si="9" ref="H4:H18">IF(D4="N",F4,10000000-F4)</f>
        <v>728860.78</v>
      </c>
      <c r="I4" s="23">
        <f aca="true" t="shared" si="10" ref="I4:I18">500000-G4</f>
        <v>-152869.961</v>
      </c>
      <c r="J4" s="23">
        <f t="shared" si="0"/>
        <v>729152.4409763905</v>
      </c>
      <c r="K4" s="23">
        <f t="shared" si="1"/>
        <v>0.11451248753851646</v>
      </c>
      <c r="L4" s="23">
        <f aca="true" t="shared" si="11" ref="L4:L18">K4+B$14*SIN(2*K4)+B$15*SIN(4*K4)+B$16*SIN(6*K4)+B$17*SIN(8*K4)</f>
        <v>0.11508597316543537</v>
      </c>
      <c r="M4" s="23">
        <f t="shared" si="2"/>
        <v>0.006650626991564917</v>
      </c>
      <c r="N4" s="23">
        <f aca="true" t="shared" si="12" ref="N4:N18">TAN(L4)^2</f>
        <v>0.013362614552703322</v>
      </c>
      <c r="O4" s="23">
        <f t="shared" si="3"/>
        <v>6378418.533141516</v>
      </c>
      <c r="P4" s="23">
        <f t="shared" si="4"/>
        <v>6336278.309589691</v>
      </c>
      <c r="Q4" s="23">
        <f t="shared" si="5"/>
        <v>-0.023976340319903606</v>
      </c>
      <c r="R4" s="23">
        <f aca="true" t="shared" si="13" ref="R4:R18">O4*TAN(L4)/P4</f>
        <v>0.11636556673864261</v>
      </c>
      <c r="S4" s="23">
        <f aca="true" t="shared" si="14" ref="S4:S18">Q4*Q4/2</f>
        <v>0.0002874324475679177</v>
      </c>
      <c r="T4" s="23">
        <f t="shared" si="6"/>
        <v>6.947796239943272E-08</v>
      </c>
      <c r="U4" s="23">
        <f t="shared" si="7"/>
        <v>1.6489355807410468E-11</v>
      </c>
      <c r="V4" s="23">
        <f aca="true" t="shared" si="15" ref="V4:V18">Q4</f>
        <v>-0.023976340319903606</v>
      </c>
      <c r="W4" s="23">
        <f aca="true" t="shared" si="16" ref="W4:W18">(1+2*N4+M4)*Q4^3/6</f>
        <v>-2.3738635011834693E-06</v>
      </c>
      <c r="X4" s="23">
        <f t="shared" si="8"/>
        <v>-3.578046813050618E-10</v>
      </c>
      <c r="Y4" s="23">
        <f aca="true" t="shared" si="17" ref="Y4:Y18">(V4-W4+X4)/COS(L4)</f>
        <v>-0.024133612701349755</v>
      </c>
      <c r="Z4" s="23">
        <f aca="true" t="shared" si="18" ref="Z4:Z18">6*E4-183</f>
        <v>99</v>
      </c>
      <c r="AA4" s="23">
        <f aca="true" t="shared" si="19" ref="AA4:AA18">180*(L4-R4*(S4+T4+U4))/PI()</f>
        <v>6.592023694529105</v>
      </c>
      <c r="AB4" s="10">
        <f aca="true" t="shared" si="20" ref="AB4:AB18">IF(D4="N",AA4,-AA4)</f>
        <v>6.592023694529105</v>
      </c>
      <c r="AC4" s="10">
        <f aca="true" t="shared" si="21" ref="AC4:AC18">Z4-Y4*180/PI()</f>
        <v>100.38275415219066</v>
      </c>
      <c r="AD4" s="67">
        <f aca="true" t="shared" si="22" ref="AD4:AD18">TRUNC(AB4)</f>
        <v>6</v>
      </c>
      <c r="AE4" s="67">
        <f>INT(ABS(60*(AB4-AD4)))</f>
        <v>35</v>
      </c>
      <c r="AF4" s="67">
        <f aca="true" t="shared" si="23" ref="AF4:AF18">3600*(ABS(AB4)-ABS(AD4)-AE4/60)</f>
        <v>31.285300304776563</v>
      </c>
      <c r="AG4" s="22">
        <f aca="true" t="shared" si="24" ref="AG4:AG18">TRUNC(AC4)</f>
        <v>100</v>
      </c>
      <c r="AH4" s="70">
        <f aca="true" t="shared" si="25" ref="AH4:AH18">INT(ABS((60*(AC4-AG4))))</f>
        <v>22</v>
      </c>
      <c r="AI4" s="22">
        <f aca="true" t="shared" si="26" ref="AI4:AI18">3600*(ABS(AC4)-ABS(AG4)-AH4/60)</f>
        <v>57.91494788636451</v>
      </c>
    </row>
    <row r="5" spans="1:38" ht="12.75">
      <c r="A5" s="3" t="s">
        <v>50</v>
      </c>
      <c r="B5" s="3"/>
      <c r="C5" s="2"/>
      <c r="D5" s="11" t="s">
        <v>111</v>
      </c>
      <c r="E5" s="11">
        <v>47</v>
      </c>
      <c r="F5" s="12">
        <v>731209.265</v>
      </c>
      <c r="G5" s="12">
        <v>653243.085</v>
      </c>
      <c r="H5" s="58">
        <f t="shared" si="9"/>
        <v>731209.265</v>
      </c>
      <c r="I5" s="23">
        <f t="shared" si="10"/>
        <v>-153243.08499999996</v>
      </c>
      <c r="J5" s="23">
        <f t="shared" si="0"/>
        <v>731501.8657462985</v>
      </c>
      <c r="K5" s="23">
        <f t="shared" si="1"/>
        <v>0.11488146178802525</v>
      </c>
      <c r="L5" s="23">
        <f t="shared" si="11"/>
        <v>0.11545676239786178</v>
      </c>
      <c r="M5" s="23">
        <f t="shared" si="2"/>
        <v>0.006650055970599554</v>
      </c>
      <c r="N5" s="23">
        <f t="shared" si="12"/>
        <v>0.013449629053179975</v>
      </c>
      <c r="O5" s="23">
        <f t="shared" si="3"/>
        <v>6378420.342216165</v>
      </c>
      <c r="P5" s="23">
        <f t="shared" si="4"/>
        <v>6336283.700959189</v>
      </c>
      <c r="Q5" s="23">
        <f t="shared" si="5"/>
        <v>-0.024034854797518698</v>
      </c>
      <c r="R5" s="23">
        <f t="shared" si="13"/>
        <v>0.11674375962503411</v>
      </c>
      <c r="S5" s="23">
        <f t="shared" si="14"/>
        <v>0.00028883712256890377</v>
      </c>
      <c r="T5" s="23">
        <f t="shared" si="6"/>
        <v>7.016224644877081E-08</v>
      </c>
      <c r="U5" s="23">
        <f t="shared" si="7"/>
        <v>1.6734367655894104E-11</v>
      </c>
      <c r="V5" s="23">
        <f t="shared" si="15"/>
        <v>-0.024034854797518698</v>
      </c>
      <c r="W5" s="23">
        <f t="shared" si="16"/>
        <v>-2.391687650097169E-06</v>
      </c>
      <c r="X5" s="23">
        <f t="shared" si="8"/>
        <v>-3.623588384209823E-10</v>
      </c>
      <c r="Y5" s="23">
        <f t="shared" si="17"/>
        <v>-0.024193537543990465</v>
      </c>
      <c r="Z5" s="23">
        <f t="shared" si="18"/>
        <v>99</v>
      </c>
      <c r="AA5" s="23">
        <f t="shared" si="19"/>
        <v>6.613252722453697</v>
      </c>
      <c r="AB5" s="10">
        <f t="shared" si="20"/>
        <v>6.613252722453697</v>
      </c>
      <c r="AC5" s="10">
        <f t="shared" si="21"/>
        <v>100.38618759276196</v>
      </c>
      <c r="AD5" s="67">
        <f t="shared" si="22"/>
        <v>6</v>
      </c>
      <c r="AE5" s="67">
        <f aca="true" t="shared" si="27" ref="AE5:AE18">INT(ABS(60*(AB5-AD5)))</f>
        <v>36</v>
      </c>
      <c r="AF5" s="67">
        <f t="shared" si="23"/>
        <v>47.70980083330927</v>
      </c>
      <c r="AG5" s="22">
        <f t="shared" si="24"/>
        <v>100</v>
      </c>
      <c r="AH5" s="70">
        <f t="shared" si="25"/>
        <v>23</v>
      </c>
      <c r="AI5" s="22">
        <f t="shared" si="26"/>
        <v>10.275333943043186</v>
      </c>
      <c r="AK5" s="78">
        <v>655942.745</v>
      </c>
      <c r="AL5" s="56">
        <v>726841.522</v>
      </c>
    </row>
    <row r="6" spans="1:38" ht="12.75">
      <c r="A6" s="2" t="s">
        <v>55</v>
      </c>
      <c r="B6" s="2" t="s">
        <v>11</v>
      </c>
      <c r="C6" s="2">
        <f>b</f>
        <v>6356752.3142</v>
      </c>
      <c r="D6" s="11" t="s">
        <v>111</v>
      </c>
      <c r="E6" s="11">
        <v>47</v>
      </c>
      <c r="F6" s="77">
        <v>739813.06</v>
      </c>
      <c r="G6" s="77">
        <v>647953.507</v>
      </c>
      <c r="H6" s="58">
        <f t="shared" si="9"/>
        <v>739813.06</v>
      </c>
      <c r="I6" s="23">
        <f t="shared" si="10"/>
        <v>-147953.50699999998</v>
      </c>
      <c r="J6" s="23">
        <f t="shared" si="0"/>
        <v>740109.1036414566</v>
      </c>
      <c r="K6" s="23">
        <f t="shared" si="1"/>
        <v>0.11623321783630851</v>
      </c>
      <c r="L6" s="23">
        <f t="shared" si="11"/>
        <v>0.11681516502201195</v>
      </c>
      <c r="M6" s="23">
        <f t="shared" si="2"/>
        <v>0.0066479486021449475</v>
      </c>
      <c r="N6" s="23">
        <f t="shared" si="12"/>
        <v>0.013770887821322445</v>
      </c>
      <c r="O6" s="23">
        <f t="shared" si="3"/>
        <v>6378427.0186688425</v>
      </c>
      <c r="P6" s="23">
        <f t="shared" si="4"/>
        <v>6336303.59802161</v>
      </c>
      <c r="Q6" s="23">
        <f t="shared" si="5"/>
        <v>-0.02320520586840918</v>
      </c>
      <c r="R6" s="23">
        <f t="shared" si="13"/>
        <v>0.1181295591189263</v>
      </c>
      <c r="S6" s="23">
        <f t="shared" si="14"/>
        <v>0.00026924078969762594</v>
      </c>
      <c r="T6" s="23">
        <f t="shared" si="6"/>
        <v>6.097619424753885E-08</v>
      </c>
      <c r="U6" s="23">
        <f t="shared" si="7"/>
        <v>1.3560386673955315E-11</v>
      </c>
      <c r="V6" s="23">
        <f t="shared" si="15"/>
        <v>-0.02320520586840918</v>
      </c>
      <c r="W6" s="23">
        <f t="shared" si="16"/>
        <v>-2.1537993667877005E-06</v>
      </c>
      <c r="X6" s="23">
        <f t="shared" si="8"/>
        <v>-3.0450581368659025E-10</v>
      </c>
      <c r="Y6" s="23">
        <f t="shared" si="17"/>
        <v>-0.02336226942340023</v>
      </c>
      <c r="Z6" s="23">
        <f t="shared" si="18"/>
        <v>99</v>
      </c>
      <c r="AA6" s="23">
        <f t="shared" si="19"/>
        <v>6.691193216872453</v>
      </c>
      <c r="AB6" s="10">
        <f t="shared" si="20"/>
        <v>6.691193216872453</v>
      </c>
      <c r="AC6" s="10">
        <f t="shared" si="21"/>
        <v>100.33855943780837</v>
      </c>
      <c r="AD6" s="67">
        <f t="shared" si="22"/>
        <v>6</v>
      </c>
      <c r="AE6" s="67">
        <f t="shared" si="27"/>
        <v>41</v>
      </c>
      <c r="AF6" s="67">
        <f t="shared" si="23"/>
        <v>28.29558074082934</v>
      </c>
      <c r="AG6" s="22">
        <f t="shared" si="24"/>
        <v>100</v>
      </c>
      <c r="AH6" s="70">
        <f t="shared" si="25"/>
        <v>20</v>
      </c>
      <c r="AI6" s="22">
        <f t="shared" si="26"/>
        <v>18.813976110135467</v>
      </c>
      <c r="AK6" s="78">
        <v>652869.961</v>
      </c>
      <c r="AL6" s="56">
        <v>728860.78</v>
      </c>
    </row>
    <row r="7" spans="1:38" ht="12.75">
      <c r="A7" s="2" t="s">
        <v>57</v>
      </c>
      <c r="B7" s="2" t="s">
        <v>8</v>
      </c>
      <c r="C7" s="2">
        <f>a</f>
        <v>6378137</v>
      </c>
      <c r="D7" s="11" t="s">
        <v>111</v>
      </c>
      <c r="E7" s="11">
        <v>47</v>
      </c>
      <c r="F7" s="77">
        <v>748394.907</v>
      </c>
      <c r="G7" s="77">
        <v>649138.723</v>
      </c>
      <c r="H7" s="58">
        <f t="shared" si="9"/>
        <v>748394.907</v>
      </c>
      <c r="I7" s="23">
        <f t="shared" si="10"/>
        <v>-149138.723</v>
      </c>
      <c r="J7" s="23">
        <f t="shared" si="0"/>
        <v>748694.3847539015</v>
      </c>
      <c r="K7" s="23">
        <f t="shared" si="1"/>
        <v>0.11758152559906802</v>
      </c>
      <c r="L7" s="23">
        <f t="shared" si="11"/>
        <v>0.11817009813178153</v>
      </c>
      <c r="M7" s="23">
        <f t="shared" si="2"/>
        <v>0.006645822512275217</v>
      </c>
      <c r="N7" s="23">
        <f t="shared" si="12"/>
        <v>0.014095207047549617</v>
      </c>
      <c r="O7" s="23">
        <f t="shared" si="3"/>
        <v>6378433.754454958</v>
      </c>
      <c r="P7" s="23">
        <f t="shared" si="4"/>
        <v>6336323.671950844</v>
      </c>
      <c r="Q7" s="23">
        <f t="shared" si="5"/>
        <v>-0.023391071868817028</v>
      </c>
      <c r="R7" s="23">
        <f t="shared" si="13"/>
        <v>0.11951225074683708</v>
      </c>
      <c r="S7" s="23">
        <f t="shared" si="14"/>
        <v>0.00027357112158608166</v>
      </c>
      <c r="T7" s="23">
        <f t="shared" si="6"/>
        <v>6.296526008952189E-08</v>
      </c>
      <c r="U7" s="23">
        <f t="shared" si="7"/>
        <v>1.4231850161401175E-11</v>
      </c>
      <c r="V7" s="23">
        <f t="shared" si="15"/>
        <v>-0.023391071868817028</v>
      </c>
      <c r="W7" s="23">
        <f t="shared" si="16"/>
        <v>-2.2073476953938347E-06</v>
      </c>
      <c r="X7" s="23">
        <f t="shared" si="8"/>
        <v>-3.174405100412378E-10</v>
      </c>
      <c r="Y7" s="23">
        <f t="shared" si="17"/>
        <v>-0.023553123495251658</v>
      </c>
      <c r="Z7" s="23">
        <f t="shared" si="18"/>
        <v>99</v>
      </c>
      <c r="AA7" s="23">
        <f t="shared" si="19"/>
        <v>6.768774165074524</v>
      </c>
      <c r="AB7" s="10">
        <f t="shared" si="20"/>
        <v>6.768774165074524</v>
      </c>
      <c r="AC7" s="10">
        <f t="shared" si="21"/>
        <v>100.34949457062834</v>
      </c>
      <c r="AD7" s="67">
        <f t="shared" si="22"/>
        <v>6</v>
      </c>
      <c r="AE7" s="67">
        <f t="shared" si="27"/>
        <v>46</v>
      </c>
      <c r="AF7" s="67">
        <f t="shared" si="23"/>
        <v>7.586994268287439</v>
      </c>
      <c r="AG7" s="22">
        <f t="shared" si="24"/>
        <v>100</v>
      </c>
      <c r="AH7" s="70">
        <f t="shared" si="25"/>
        <v>20</v>
      </c>
      <c r="AI7" s="22">
        <f t="shared" si="26"/>
        <v>58.180454262014855</v>
      </c>
      <c r="AK7" s="78">
        <v>653243.085</v>
      </c>
      <c r="AL7" s="56">
        <v>731209.265</v>
      </c>
    </row>
    <row r="8" spans="1:38" ht="12.75">
      <c r="A8" s="2" t="s">
        <v>59</v>
      </c>
      <c r="B8" s="2" t="s">
        <v>25</v>
      </c>
      <c r="C8" s="2">
        <f>e</f>
        <v>0.08181919092890692</v>
      </c>
      <c r="D8" s="11" t="s">
        <v>111</v>
      </c>
      <c r="E8" s="11">
        <v>47</v>
      </c>
      <c r="F8" s="77">
        <v>753245.516</v>
      </c>
      <c r="G8" s="77">
        <v>648502.218</v>
      </c>
      <c r="H8" s="58">
        <f t="shared" si="9"/>
        <v>753245.516</v>
      </c>
      <c r="I8" s="23">
        <f t="shared" si="10"/>
        <v>-148502.218</v>
      </c>
      <c r="J8" s="23">
        <f t="shared" si="0"/>
        <v>753546.9347739095</v>
      </c>
      <c r="K8" s="23">
        <f t="shared" si="1"/>
        <v>0.11834361256808659</v>
      </c>
      <c r="L8" s="23">
        <f t="shared" si="11"/>
        <v>0.1189359279556159</v>
      </c>
      <c r="M8" s="23">
        <f t="shared" si="2"/>
        <v>0.006644610169709192</v>
      </c>
      <c r="N8" s="23">
        <f t="shared" si="12"/>
        <v>0.014280233821747862</v>
      </c>
      <c r="O8" s="23">
        <f t="shared" si="3"/>
        <v>6378437.595355877</v>
      </c>
      <c r="P8" s="23">
        <f t="shared" si="4"/>
        <v>6336335.11858822</v>
      </c>
      <c r="Q8" s="23">
        <f t="shared" si="5"/>
        <v>-0.023291227739725816</v>
      </c>
      <c r="R8" s="23">
        <f t="shared" si="13"/>
        <v>0.12029396277404622</v>
      </c>
      <c r="S8" s="23">
        <f t="shared" si="14"/>
        <v>0.0002712406448118867</v>
      </c>
      <c r="T8" s="23">
        <f t="shared" si="6"/>
        <v>6.190372057867617E-08</v>
      </c>
      <c r="U8" s="23">
        <f t="shared" si="7"/>
        <v>1.3874892734441675E-11</v>
      </c>
      <c r="V8" s="23">
        <f t="shared" si="15"/>
        <v>-0.023291227739725816</v>
      </c>
      <c r="W8" s="23">
        <f t="shared" si="16"/>
        <v>-2.1799788941351684E-06</v>
      </c>
      <c r="X8" s="23">
        <f t="shared" si="8"/>
        <v>-3.1102642949332145E-10</v>
      </c>
      <c r="Y8" s="23">
        <f t="shared" si="17"/>
        <v>-0.023454745146507864</v>
      </c>
      <c r="Z8" s="23">
        <f t="shared" si="18"/>
        <v>99</v>
      </c>
      <c r="AA8" s="23">
        <f t="shared" si="19"/>
        <v>6.8126567958112405</v>
      </c>
      <c r="AB8" s="10">
        <f t="shared" si="20"/>
        <v>6.8126567958112405</v>
      </c>
      <c r="AC8" s="10">
        <f t="shared" si="21"/>
        <v>100.34385790644986</v>
      </c>
      <c r="AD8" s="67">
        <f t="shared" si="22"/>
        <v>6</v>
      </c>
      <c r="AE8" s="67">
        <f t="shared" si="27"/>
        <v>48</v>
      </c>
      <c r="AF8" s="67">
        <f t="shared" si="23"/>
        <v>45.56446492046567</v>
      </c>
      <c r="AG8" s="22">
        <f t="shared" si="24"/>
        <v>100</v>
      </c>
      <c r="AH8" s="70">
        <f t="shared" si="25"/>
        <v>20</v>
      </c>
      <c r="AI8" s="22">
        <f t="shared" si="26"/>
        <v>37.88846321947978</v>
      </c>
      <c r="AK8" s="56">
        <v>647953.507</v>
      </c>
      <c r="AL8" s="56">
        <v>739813.06</v>
      </c>
    </row>
    <row r="9" spans="1:38" ht="12.75">
      <c r="A9" s="2" t="s">
        <v>43</v>
      </c>
      <c r="B9" s="2" t="s">
        <v>84</v>
      </c>
      <c r="C9" s="2">
        <f>e1sq</f>
        <v>0.0067394967565870025</v>
      </c>
      <c r="D9" s="11" t="s">
        <v>111</v>
      </c>
      <c r="E9" s="11">
        <v>47</v>
      </c>
      <c r="F9" s="12">
        <v>754975.055</v>
      </c>
      <c r="G9" s="12">
        <v>649248.466</v>
      </c>
      <c r="H9" s="58">
        <f t="shared" si="9"/>
        <v>754975.055</v>
      </c>
      <c r="I9" s="23">
        <f t="shared" si="10"/>
        <v>-149248.46600000001</v>
      </c>
      <c r="J9" s="23">
        <f t="shared" si="0"/>
        <v>755277.1658663466</v>
      </c>
      <c r="K9" s="23">
        <f t="shared" si="1"/>
        <v>0.11861534321764204</v>
      </c>
      <c r="L9" s="23">
        <f t="shared" si="11"/>
        <v>0.11920899282680475</v>
      </c>
      <c r="M9" s="23">
        <f t="shared" si="2"/>
        <v>0.006644176037700833</v>
      </c>
      <c r="N9" s="23">
        <f t="shared" si="12"/>
        <v>0.014346507128242047</v>
      </c>
      <c r="O9" s="23">
        <f t="shared" si="3"/>
        <v>6378438.970759267</v>
      </c>
      <c r="P9" s="23">
        <f t="shared" si="4"/>
        <v>6336339.21756319</v>
      </c>
      <c r="Q9" s="23">
        <f t="shared" si="5"/>
        <v>-0.023408264931307664</v>
      </c>
      <c r="R9" s="23">
        <f t="shared" si="13"/>
        <v>0.12057272450123496</v>
      </c>
      <c r="S9" s="23">
        <f t="shared" si="14"/>
        <v>0.0002739734335471441</v>
      </c>
      <c r="T9" s="23">
        <f t="shared" si="6"/>
        <v>6.315981547784064E-08</v>
      </c>
      <c r="U9" s="23">
        <f t="shared" si="7"/>
        <v>1.4299859689825053E-11</v>
      </c>
      <c r="V9" s="23">
        <f t="shared" si="15"/>
        <v>-0.023408264931307664</v>
      </c>
      <c r="W9" s="23">
        <f t="shared" si="16"/>
        <v>-2.213289564963754E-06</v>
      </c>
      <c r="X9" s="23">
        <f t="shared" si="8"/>
        <v>-3.190312182734317E-10</v>
      </c>
      <c r="Y9" s="23">
        <f t="shared" si="17"/>
        <v>-0.023573351601873918</v>
      </c>
      <c r="Z9" s="23">
        <f t="shared" si="18"/>
        <v>99</v>
      </c>
      <c r="AA9" s="23">
        <f t="shared" si="19"/>
        <v>6.828279039626903</v>
      </c>
      <c r="AB9" s="10">
        <f t="shared" si="20"/>
        <v>6.828279039626903</v>
      </c>
      <c r="AC9" s="10">
        <f t="shared" si="21"/>
        <v>100.35065355576533</v>
      </c>
      <c r="AD9" s="67">
        <f t="shared" si="22"/>
        <v>6</v>
      </c>
      <c r="AE9" s="67">
        <f t="shared" si="27"/>
        <v>49</v>
      </c>
      <c r="AF9" s="67">
        <f t="shared" si="23"/>
        <v>41.804542656850344</v>
      </c>
      <c r="AG9" s="22">
        <f t="shared" si="24"/>
        <v>100</v>
      </c>
      <c r="AH9" s="70">
        <f t="shared" si="25"/>
        <v>21</v>
      </c>
      <c r="AI9" s="22">
        <f t="shared" si="26"/>
        <v>2.3528007552011676</v>
      </c>
      <c r="AK9" s="56">
        <v>649138.723</v>
      </c>
      <c r="AL9" s="56">
        <v>748394.907</v>
      </c>
    </row>
    <row r="10" spans="1:38" ht="12.75">
      <c r="A10" s="2" t="s">
        <v>64</v>
      </c>
      <c r="B10" s="2" t="s">
        <v>22</v>
      </c>
      <c r="C10" s="2">
        <v>0.9996</v>
      </c>
      <c r="D10" s="11" t="s">
        <v>111</v>
      </c>
      <c r="E10" s="11">
        <v>47</v>
      </c>
      <c r="F10" s="12">
        <v>764360.215</v>
      </c>
      <c r="G10" s="12">
        <v>647931.558</v>
      </c>
      <c r="H10" s="58">
        <f t="shared" si="9"/>
        <v>764360.215</v>
      </c>
      <c r="I10" s="23">
        <f t="shared" si="10"/>
        <v>-147931.55799999996</v>
      </c>
      <c r="J10" s="23">
        <f t="shared" si="0"/>
        <v>764666.0814325729</v>
      </c>
      <c r="K10" s="23">
        <f t="shared" si="1"/>
        <v>0.1200898607757784</v>
      </c>
      <c r="L10" s="23">
        <f t="shared" si="11"/>
        <v>0.12069074730348092</v>
      </c>
      <c r="M10" s="23">
        <f t="shared" si="2"/>
        <v>0.006641803246244125</v>
      </c>
      <c r="N10" s="23">
        <f t="shared" si="12"/>
        <v>0.014708883524684583</v>
      </c>
      <c r="O10" s="23">
        <f t="shared" si="3"/>
        <v>6378446.488178338</v>
      </c>
      <c r="P10" s="23">
        <f t="shared" si="4"/>
        <v>6336361.620994639</v>
      </c>
      <c r="Q10" s="23">
        <f t="shared" si="5"/>
        <v>-0.02320169254002573</v>
      </c>
      <c r="R10" s="23">
        <f t="shared" si="13"/>
        <v>0.12208570516831391</v>
      </c>
      <c r="S10" s="23">
        <f t="shared" si="14"/>
        <v>0.0002691592683609428</v>
      </c>
      <c r="T10" s="23">
        <f t="shared" si="6"/>
        <v>6.097251409561861E-08</v>
      </c>
      <c r="U10" s="23">
        <f t="shared" si="7"/>
        <v>1.356622723831874E-11</v>
      </c>
      <c r="V10" s="23">
        <f t="shared" si="15"/>
        <v>-0.02320169254002573</v>
      </c>
      <c r="W10" s="23">
        <f t="shared" si="16"/>
        <v>-2.1567136078528846E-06</v>
      </c>
      <c r="X10" s="23">
        <f t="shared" si="8"/>
        <v>-3.057835466368648E-10</v>
      </c>
      <c r="Y10" s="23">
        <f t="shared" si="17"/>
        <v>-0.023369532935740463</v>
      </c>
      <c r="Z10" s="23">
        <f t="shared" si="18"/>
        <v>99</v>
      </c>
      <c r="AA10" s="23">
        <f t="shared" si="19"/>
        <v>6.913187252262009</v>
      </c>
      <c r="AB10" s="10">
        <f t="shared" si="20"/>
        <v>6.913187252262009</v>
      </c>
      <c r="AC10" s="10">
        <f t="shared" si="21"/>
        <v>100.3389756064099</v>
      </c>
      <c r="AD10" s="67">
        <f t="shared" si="22"/>
        <v>6</v>
      </c>
      <c r="AE10" s="67">
        <f t="shared" si="27"/>
        <v>54</v>
      </c>
      <c r="AF10" s="67">
        <f t="shared" si="23"/>
        <v>47.47410814323323</v>
      </c>
      <c r="AG10" s="22">
        <f t="shared" si="24"/>
        <v>100</v>
      </c>
      <c r="AH10" s="70">
        <f t="shared" si="25"/>
        <v>20</v>
      </c>
      <c r="AI10" s="22">
        <f t="shared" si="26"/>
        <v>20.312183075651614</v>
      </c>
      <c r="AK10" s="56">
        <v>648502.218</v>
      </c>
      <c r="AL10" s="56">
        <v>753245.516</v>
      </c>
    </row>
    <row r="11" spans="4:38" ht="12.75">
      <c r="D11" s="11" t="s">
        <v>111</v>
      </c>
      <c r="E11" s="11">
        <v>47</v>
      </c>
      <c r="F11" s="12">
        <v>773047.415</v>
      </c>
      <c r="G11" s="12">
        <v>649028.981</v>
      </c>
      <c r="H11" s="58">
        <f t="shared" si="9"/>
        <v>773047.415</v>
      </c>
      <c r="I11" s="23">
        <f t="shared" si="10"/>
        <v>-149028.98100000003</v>
      </c>
      <c r="J11" s="23">
        <f t="shared" si="0"/>
        <v>773356.7577030812</v>
      </c>
      <c r="K11" s="23">
        <f t="shared" si="1"/>
        <v>0.12145472071754207</v>
      </c>
      <c r="L11" s="23">
        <f t="shared" si="11"/>
        <v>0.1220623012692553</v>
      </c>
      <c r="M11" s="23">
        <f t="shared" si="2"/>
        <v>0.006639581312580038</v>
      </c>
      <c r="N11" s="23">
        <f t="shared" si="12"/>
        <v>0.015048455512948481</v>
      </c>
      <c r="O11" s="23">
        <f t="shared" si="3"/>
        <v>6378453.527677588</v>
      </c>
      <c r="P11" s="23">
        <f t="shared" si="4"/>
        <v>6336382.6001761025</v>
      </c>
      <c r="Q11" s="23">
        <f t="shared" si="5"/>
        <v>-0.02337378736078402</v>
      </c>
      <c r="R11" s="23">
        <f t="shared" si="13"/>
        <v>0.12348663813416119</v>
      </c>
      <c r="S11" s="23">
        <f t="shared" si="14"/>
        <v>0.0002731669677935734</v>
      </c>
      <c r="T11" s="23">
        <f t="shared" si="6"/>
        <v>6.28141507682144E-08</v>
      </c>
      <c r="U11" s="23">
        <f t="shared" si="7"/>
        <v>1.4188160802645318E-11</v>
      </c>
      <c r="V11" s="23">
        <f t="shared" si="15"/>
        <v>-0.02337378736078402</v>
      </c>
      <c r="W11" s="23">
        <f t="shared" si="16"/>
        <v>-2.2065023872516144E-06</v>
      </c>
      <c r="X11" s="23">
        <f t="shared" si="8"/>
        <v>-3.178606782249419E-10</v>
      </c>
      <c r="Y11" s="23">
        <f t="shared" si="17"/>
        <v>-0.023546777628212594</v>
      </c>
      <c r="Z11" s="23">
        <f t="shared" si="18"/>
        <v>99</v>
      </c>
      <c r="AA11" s="23">
        <f t="shared" si="19"/>
        <v>6.991721527663325</v>
      </c>
      <c r="AB11" s="10">
        <f t="shared" si="20"/>
        <v>6.991721527663325</v>
      </c>
      <c r="AC11" s="10">
        <f t="shared" si="21"/>
        <v>100.34913097922964</v>
      </c>
      <c r="AD11" s="67">
        <f t="shared" si="22"/>
        <v>6</v>
      </c>
      <c r="AE11" s="67">
        <f t="shared" si="27"/>
        <v>59</v>
      </c>
      <c r="AF11" s="67">
        <f t="shared" si="23"/>
        <v>30.197499587968977</v>
      </c>
      <c r="AG11" s="22">
        <f t="shared" si="24"/>
        <v>100</v>
      </c>
      <c r="AH11" s="70">
        <f t="shared" si="25"/>
        <v>20</v>
      </c>
      <c r="AI11" s="22">
        <f t="shared" si="26"/>
        <v>56.87152522671119</v>
      </c>
      <c r="AK11" s="56">
        <v>649248.466</v>
      </c>
      <c r="AL11" s="56">
        <v>754975.055</v>
      </c>
    </row>
    <row r="12" spans="1:38" ht="12.75">
      <c r="A12" s="13" t="s">
        <v>87</v>
      </c>
      <c r="B12" s="14"/>
      <c r="C12" s="14"/>
      <c r="D12" s="11" t="s">
        <v>111</v>
      </c>
      <c r="E12" s="11">
        <v>47</v>
      </c>
      <c r="F12" s="12">
        <v>780619.633</v>
      </c>
      <c r="G12" s="12">
        <v>656425.611</v>
      </c>
      <c r="H12" s="58">
        <f t="shared" si="9"/>
        <v>780619.633</v>
      </c>
      <c r="I12" s="23">
        <f t="shared" si="10"/>
        <v>-156425.61100000003</v>
      </c>
      <c r="J12" s="23">
        <f t="shared" si="0"/>
        <v>780932.0058023209</v>
      </c>
      <c r="K12" s="23">
        <f t="shared" si="1"/>
        <v>0.12264440404686584</v>
      </c>
      <c r="L12" s="23">
        <f t="shared" si="11"/>
        <v>0.12325781573712137</v>
      </c>
      <c r="M12" s="23">
        <f t="shared" si="2"/>
        <v>0.006637624494389672</v>
      </c>
      <c r="N12" s="23">
        <f t="shared" si="12"/>
        <v>0.01534769890695611</v>
      </c>
      <c r="O12" s="23">
        <f t="shared" si="3"/>
        <v>6378459.727260994</v>
      </c>
      <c r="P12" s="23">
        <f t="shared" si="4"/>
        <v>6336401.076270862</v>
      </c>
      <c r="Q12" s="23">
        <f t="shared" si="5"/>
        <v>-0.024533855033009894</v>
      </c>
      <c r="R12" s="23">
        <f t="shared" si="13"/>
        <v>0.12470813775040356</v>
      </c>
      <c r="S12" s="23">
        <f t="shared" si="14"/>
        <v>0.00030095502139037243</v>
      </c>
      <c r="T12" s="23">
        <f t="shared" si="6"/>
        <v>7.625701990108618E-08</v>
      </c>
      <c r="U12" s="23">
        <f t="shared" si="7"/>
        <v>1.898155569303606E-11</v>
      </c>
      <c r="V12" s="23">
        <f t="shared" si="15"/>
        <v>-0.024533855033009894</v>
      </c>
      <c r="W12" s="23">
        <f t="shared" si="16"/>
        <v>-2.5530794931469007E-06</v>
      </c>
      <c r="X12" s="23">
        <f t="shared" si="8"/>
        <v>-4.056047452933777E-10</v>
      </c>
      <c r="Y12" s="23">
        <f t="shared" si="17"/>
        <v>-0.02471883507129239</v>
      </c>
      <c r="Z12" s="23">
        <f t="shared" si="18"/>
        <v>99</v>
      </c>
      <c r="AA12" s="23">
        <f t="shared" si="19"/>
        <v>7.060001689871373</v>
      </c>
      <c r="AB12" s="10">
        <f t="shared" si="20"/>
        <v>7.060001689871373</v>
      </c>
      <c r="AC12" s="10">
        <f t="shared" si="21"/>
        <v>100.41628492406501</v>
      </c>
      <c r="AD12" s="67">
        <f t="shared" si="22"/>
        <v>7</v>
      </c>
      <c r="AE12" s="67">
        <f t="shared" si="27"/>
        <v>3</v>
      </c>
      <c r="AF12" s="67">
        <f t="shared" si="23"/>
        <v>36.00608353694319</v>
      </c>
      <c r="AG12" s="22">
        <f t="shared" si="24"/>
        <v>100</v>
      </c>
      <c r="AH12" s="70">
        <f t="shared" si="25"/>
        <v>24</v>
      </c>
      <c r="AI12" s="22">
        <f t="shared" si="26"/>
        <v>58.62572663403731</v>
      </c>
      <c r="AK12" s="56">
        <v>647931.558</v>
      </c>
      <c r="AL12" s="56">
        <v>764360.215</v>
      </c>
    </row>
    <row r="13" spans="1:38" ht="12.75">
      <c r="A13" s="14" t="s">
        <v>66</v>
      </c>
      <c r="B13" s="14">
        <f>(1-(1-e*e)^(1/2))/(1+(1-e*e)^(1/2))</f>
        <v>0.0016792203899373788</v>
      </c>
      <c r="D13" s="11" t="s">
        <v>111</v>
      </c>
      <c r="E13" s="11">
        <v>47</v>
      </c>
      <c r="F13" s="12">
        <v>783240.278</v>
      </c>
      <c r="G13" s="12">
        <v>657127.962</v>
      </c>
      <c r="H13" s="58">
        <f t="shared" si="9"/>
        <v>783240.278</v>
      </c>
      <c r="I13" s="23">
        <f t="shared" si="10"/>
        <v>-157127.96200000006</v>
      </c>
      <c r="J13" s="23">
        <f t="shared" si="0"/>
        <v>783553.6994797919</v>
      </c>
      <c r="K13" s="23">
        <f t="shared" si="1"/>
        <v>0.12305613779100472</v>
      </c>
      <c r="L13" s="23">
        <f t="shared" si="11"/>
        <v>0.12367156674739552</v>
      </c>
      <c r="M13" s="23">
        <f t="shared" si="2"/>
        <v>0.006636942914395094</v>
      </c>
      <c r="N13" s="23">
        <f t="shared" si="12"/>
        <v>0.015451969907632594</v>
      </c>
      <c r="O13" s="23">
        <f t="shared" si="3"/>
        <v>6378461.886644196</v>
      </c>
      <c r="P13" s="23">
        <f t="shared" si="4"/>
        <v>6336407.511706655</v>
      </c>
      <c r="Q13" s="23">
        <f t="shared" si="5"/>
        <v>-0.024644003700088683</v>
      </c>
      <c r="R13" s="23">
        <f t="shared" si="13"/>
        <v>0.12513096433742005</v>
      </c>
      <c r="S13" s="23">
        <f t="shared" si="14"/>
        <v>0.00030366345918499235</v>
      </c>
      <c r="T13" s="23">
        <f t="shared" si="6"/>
        <v>7.764044589554015E-08</v>
      </c>
      <c r="U13" s="23">
        <f t="shared" si="7"/>
        <v>1.9501555230470112E-11</v>
      </c>
      <c r="V13" s="23">
        <f t="shared" si="15"/>
        <v>-0.024644003700088683</v>
      </c>
      <c r="W13" s="23">
        <f t="shared" si="16"/>
        <v>-2.5881399949686816E-06</v>
      </c>
      <c r="X13" s="23">
        <f t="shared" si="8"/>
        <v>-4.150191067689714E-10</v>
      </c>
      <c r="Y13" s="23">
        <f t="shared" si="17"/>
        <v>-0.024831065378386113</v>
      </c>
      <c r="Z13" s="23">
        <f t="shared" si="18"/>
        <v>99</v>
      </c>
      <c r="AA13" s="23">
        <f t="shared" si="19"/>
        <v>7.083681155688968</v>
      </c>
      <c r="AB13" s="10">
        <f t="shared" si="20"/>
        <v>7.083681155688968</v>
      </c>
      <c r="AC13" s="10">
        <f t="shared" si="21"/>
        <v>100.42271524699494</v>
      </c>
      <c r="AD13" s="67">
        <f t="shared" si="22"/>
        <v>7</v>
      </c>
      <c r="AE13" s="67">
        <f t="shared" si="27"/>
        <v>5</v>
      </c>
      <c r="AF13" s="67">
        <f t="shared" si="23"/>
        <v>1.2521604802842201</v>
      </c>
      <c r="AG13" s="22">
        <f t="shared" si="24"/>
        <v>100</v>
      </c>
      <c r="AH13" s="70">
        <f t="shared" si="25"/>
        <v>25</v>
      </c>
      <c r="AI13" s="22">
        <f t="shared" si="26"/>
        <v>21.77488918178476</v>
      </c>
      <c r="AK13" s="56">
        <v>649028.981</v>
      </c>
      <c r="AL13" s="56">
        <v>773047.415</v>
      </c>
    </row>
    <row r="14" spans="1:38" ht="12.75">
      <c r="A14" s="14" t="s">
        <v>34</v>
      </c>
      <c r="B14" s="14">
        <f>3*ei/2-27*ei^3/32</f>
        <v>0.0025188265897211743</v>
      </c>
      <c r="D14" s="11" t="s">
        <v>111</v>
      </c>
      <c r="E14" s="11">
        <v>47</v>
      </c>
      <c r="H14" s="58">
        <f t="shared" si="9"/>
        <v>0</v>
      </c>
      <c r="I14" s="23">
        <f t="shared" si="10"/>
        <v>500000</v>
      </c>
      <c r="J14" s="23">
        <f t="shared" si="0"/>
        <v>0</v>
      </c>
      <c r="K14" s="23">
        <f t="shared" si="1"/>
        <v>0</v>
      </c>
      <c r="L14" s="23">
        <f t="shared" si="11"/>
        <v>0</v>
      </c>
      <c r="M14" s="23">
        <f t="shared" si="2"/>
        <v>0.0067394967565870025</v>
      </c>
      <c r="N14" s="23">
        <f t="shared" si="12"/>
        <v>0</v>
      </c>
      <c r="O14" s="23">
        <f t="shared" si="3"/>
        <v>6378137</v>
      </c>
      <c r="P14" s="23">
        <f t="shared" si="4"/>
        <v>6335439.327202763</v>
      </c>
      <c r="Q14" s="23">
        <f t="shared" si="5"/>
        <v>0.07842416681109433</v>
      </c>
      <c r="R14" s="23">
        <f t="shared" si="13"/>
        <v>0</v>
      </c>
      <c r="S14" s="23">
        <f t="shared" si="14"/>
        <v>0.0030751749700071752</v>
      </c>
      <c r="T14" s="23">
        <f t="shared" si="6"/>
        <v>7.890920127136131E-06</v>
      </c>
      <c r="U14" s="23">
        <f t="shared" si="7"/>
        <v>1.981059201934672E-08</v>
      </c>
      <c r="V14" s="23">
        <f t="shared" si="15"/>
        <v>0.07842416681109433</v>
      </c>
      <c r="W14" s="23">
        <f t="shared" si="16"/>
        <v>8.093112866987144E-05</v>
      </c>
      <c r="X14" s="23">
        <f t="shared" si="8"/>
        <v>1.2460193000466792E-07</v>
      </c>
      <c r="Y14" s="23">
        <f t="shared" si="17"/>
        <v>0.07834336028435447</v>
      </c>
      <c r="Z14" s="23">
        <f t="shared" si="18"/>
        <v>99</v>
      </c>
      <c r="AA14" s="23">
        <f t="shared" si="19"/>
        <v>0</v>
      </c>
      <c r="AB14" s="10">
        <f t="shared" si="20"/>
        <v>0</v>
      </c>
      <c r="AC14" s="10">
        <f t="shared" si="21"/>
        <v>94.51125610283366</v>
      </c>
      <c r="AD14" s="67">
        <f t="shared" si="22"/>
        <v>0</v>
      </c>
      <c r="AE14" s="67">
        <f t="shared" si="27"/>
        <v>0</v>
      </c>
      <c r="AF14" s="67">
        <f t="shared" si="23"/>
        <v>0</v>
      </c>
      <c r="AG14" s="22">
        <f t="shared" si="24"/>
        <v>94</v>
      </c>
      <c r="AH14" s="70">
        <f t="shared" si="25"/>
        <v>30</v>
      </c>
      <c r="AI14" s="22">
        <f t="shared" si="26"/>
        <v>40.521970201160684</v>
      </c>
      <c r="AK14" s="56">
        <v>656425.611</v>
      </c>
      <c r="AL14" s="56">
        <v>780619.633</v>
      </c>
    </row>
    <row r="15" spans="1:38" ht="12.75">
      <c r="A15" s="14" t="s">
        <v>67</v>
      </c>
      <c r="B15" s="14">
        <f>21*ei^2/16-55*ei^4/32</f>
        <v>3.7009490512848485E-06</v>
      </c>
      <c r="D15" s="11" t="s">
        <v>111</v>
      </c>
      <c r="E15" s="11">
        <v>47</v>
      </c>
      <c r="H15" s="58">
        <f t="shared" si="9"/>
        <v>0</v>
      </c>
      <c r="I15" s="23">
        <f t="shared" si="10"/>
        <v>500000</v>
      </c>
      <c r="J15" s="23">
        <f t="shared" si="0"/>
        <v>0</v>
      </c>
      <c r="K15" s="23">
        <f t="shared" si="1"/>
        <v>0</v>
      </c>
      <c r="L15" s="23">
        <f t="shared" si="11"/>
        <v>0</v>
      </c>
      <c r="M15" s="23">
        <f t="shared" si="2"/>
        <v>0.0067394967565870025</v>
      </c>
      <c r="N15" s="23">
        <f t="shared" si="12"/>
        <v>0</v>
      </c>
      <c r="O15" s="23">
        <f t="shared" si="3"/>
        <v>6378137</v>
      </c>
      <c r="P15" s="23">
        <f t="shared" si="4"/>
        <v>6335439.327202763</v>
      </c>
      <c r="Q15" s="23">
        <f t="shared" si="5"/>
        <v>0.07842416681109433</v>
      </c>
      <c r="R15" s="23">
        <f t="shared" si="13"/>
        <v>0</v>
      </c>
      <c r="S15" s="23">
        <f t="shared" si="14"/>
        <v>0.0030751749700071752</v>
      </c>
      <c r="T15" s="23">
        <f t="shared" si="6"/>
        <v>7.890920127136131E-06</v>
      </c>
      <c r="U15" s="23">
        <f t="shared" si="7"/>
        <v>1.981059201934672E-08</v>
      </c>
      <c r="V15" s="23">
        <f t="shared" si="15"/>
        <v>0.07842416681109433</v>
      </c>
      <c r="W15" s="23">
        <f t="shared" si="16"/>
        <v>8.093112866987144E-05</v>
      </c>
      <c r="X15" s="23">
        <f t="shared" si="8"/>
        <v>1.2460193000466792E-07</v>
      </c>
      <c r="Y15" s="23">
        <f t="shared" si="17"/>
        <v>0.07834336028435447</v>
      </c>
      <c r="Z15" s="23">
        <f t="shared" si="18"/>
        <v>99</v>
      </c>
      <c r="AA15" s="23">
        <f t="shared" si="19"/>
        <v>0</v>
      </c>
      <c r="AB15" s="10">
        <f t="shared" si="20"/>
        <v>0</v>
      </c>
      <c r="AC15" s="10">
        <f t="shared" si="21"/>
        <v>94.51125610283366</v>
      </c>
      <c r="AD15" s="67">
        <f t="shared" si="22"/>
        <v>0</v>
      </c>
      <c r="AE15" s="67">
        <f t="shared" si="27"/>
        <v>0</v>
      </c>
      <c r="AF15" s="67">
        <f t="shared" si="23"/>
        <v>0</v>
      </c>
      <c r="AG15" s="22">
        <f t="shared" si="24"/>
        <v>94</v>
      </c>
      <c r="AH15" s="70">
        <f t="shared" si="25"/>
        <v>30</v>
      </c>
      <c r="AI15" s="22">
        <f t="shared" si="26"/>
        <v>40.521970201160684</v>
      </c>
      <c r="AK15" s="56">
        <v>657127.962</v>
      </c>
      <c r="AL15" s="56">
        <v>783240.278</v>
      </c>
    </row>
    <row r="16" spans="1:35" ht="12.75">
      <c r="A16" s="14" t="s">
        <v>68</v>
      </c>
      <c r="B16" s="14">
        <f>151*ei^3/96</f>
        <v>7.447813814788574E-09</v>
      </c>
      <c r="D16" s="11" t="s">
        <v>111</v>
      </c>
      <c r="E16" s="11">
        <v>47</v>
      </c>
      <c r="H16" s="58">
        <f t="shared" si="9"/>
        <v>0</v>
      </c>
      <c r="I16" s="23">
        <f t="shared" si="10"/>
        <v>500000</v>
      </c>
      <c r="J16" s="23">
        <f t="shared" si="0"/>
        <v>0</v>
      </c>
      <c r="K16" s="23">
        <f t="shared" si="1"/>
        <v>0</v>
      </c>
      <c r="L16" s="23">
        <f t="shared" si="11"/>
        <v>0</v>
      </c>
      <c r="M16" s="23">
        <f t="shared" si="2"/>
        <v>0.0067394967565870025</v>
      </c>
      <c r="N16" s="23">
        <f t="shared" si="12"/>
        <v>0</v>
      </c>
      <c r="O16" s="23">
        <f t="shared" si="3"/>
        <v>6378137</v>
      </c>
      <c r="P16" s="23">
        <f t="shared" si="4"/>
        <v>6335439.327202763</v>
      </c>
      <c r="Q16" s="23">
        <f t="shared" si="5"/>
        <v>0.07842416681109433</v>
      </c>
      <c r="R16" s="23">
        <f t="shared" si="13"/>
        <v>0</v>
      </c>
      <c r="S16" s="23">
        <f t="shared" si="14"/>
        <v>0.0030751749700071752</v>
      </c>
      <c r="T16" s="23">
        <f t="shared" si="6"/>
        <v>7.890920127136131E-06</v>
      </c>
      <c r="U16" s="23">
        <f t="shared" si="7"/>
        <v>1.981059201934672E-08</v>
      </c>
      <c r="V16" s="23">
        <f t="shared" si="15"/>
        <v>0.07842416681109433</v>
      </c>
      <c r="W16" s="23">
        <f t="shared" si="16"/>
        <v>8.093112866987144E-05</v>
      </c>
      <c r="X16" s="23">
        <f t="shared" si="8"/>
        <v>1.2460193000466792E-07</v>
      </c>
      <c r="Y16" s="23">
        <f t="shared" si="17"/>
        <v>0.07834336028435447</v>
      </c>
      <c r="Z16" s="23">
        <f t="shared" si="18"/>
        <v>99</v>
      </c>
      <c r="AA16" s="23">
        <f t="shared" si="19"/>
        <v>0</v>
      </c>
      <c r="AB16" s="10">
        <f t="shared" si="20"/>
        <v>0</v>
      </c>
      <c r="AC16" s="10">
        <f t="shared" si="21"/>
        <v>94.51125610283366</v>
      </c>
      <c r="AD16" s="67">
        <f t="shared" si="22"/>
        <v>0</v>
      </c>
      <c r="AE16" s="67">
        <f t="shared" si="27"/>
        <v>0</v>
      </c>
      <c r="AF16" s="67">
        <f t="shared" si="23"/>
        <v>0</v>
      </c>
      <c r="AG16" s="22">
        <f t="shared" si="24"/>
        <v>94</v>
      </c>
      <c r="AH16" s="70">
        <f t="shared" si="25"/>
        <v>30</v>
      </c>
      <c r="AI16" s="22">
        <f t="shared" si="26"/>
        <v>40.521970201160684</v>
      </c>
    </row>
    <row r="17" spans="1:35" ht="12.75">
      <c r="A17" s="14" t="s">
        <v>69</v>
      </c>
      <c r="B17" s="14">
        <f>1097*ei^4/512</f>
        <v>1.7035993382806964E-11</v>
      </c>
      <c r="D17" s="11" t="s">
        <v>111</v>
      </c>
      <c r="E17" s="11">
        <v>47</v>
      </c>
      <c r="H17" s="58">
        <f t="shared" si="9"/>
        <v>0</v>
      </c>
      <c r="I17" s="23">
        <f t="shared" si="10"/>
        <v>500000</v>
      </c>
      <c r="J17" s="23">
        <f t="shared" si="0"/>
        <v>0</v>
      </c>
      <c r="K17" s="23">
        <f t="shared" si="1"/>
        <v>0</v>
      </c>
      <c r="L17" s="23">
        <f t="shared" si="11"/>
        <v>0</v>
      </c>
      <c r="M17" s="23">
        <f t="shared" si="2"/>
        <v>0.0067394967565870025</v>
      </c>
      <c r="N17" s="23">
        <f t="shared" si="12"/>
        <v>0</v>
      </c>
      <c r="O17" s="23">
        <f t="shared" si="3"/>
        <v>6378137</v>
      </c>
      <c r="P17" s="23">
        <f t="shared" si="4"/>
        <v>6335439.327202763</v>
      </c>
      <c r="Q17" s="23">
        <f t="shared" si="5"/>
        <v>0.07842416681109433</v>
      </c>
      <c r="R17" s="23">
        <f t="shared" si="13"/>
        <v>0</v>
      </c>
      <c r="S17" s="23">
        <f t="shared" si="14"/>
        <v>0.0030751749700071752</v>
      </c>
      <c r="T17" s="23">
        <f t="shared" si="6"/>
        <v>7.890920127136131E-06</v>
      </c>
      <c r="U17" s="23">
        <f t="shared" si="7"/>
        <v>1.981059201934672E-08</v>
      </c>
      <c r="V17" s="23">
        <f t="shared" si="15"/>
        <v>0.07842416681109433</v>
      </c>
      <c r="W17" s="23">
        <f t="shared" si="16"/>
        <v>8.093112866987144E-05</v>
      </c>
      <c r="X17" s="23">
        <f t="shared" si="8"/>
        <v>1.2460193000466792E-07</v>
      </c>
      <c r="Y17" s="23">
        <f t="shared" si="17"/>
        <v>0.07834336028435447</v>
      </c>
      <c r="Z17" s="23">
        <f t="shared" si="18"/>
        <v>99</v>
      </c>
      <c r="AA17" s="23">
        <f t="shared" si="19"/>
        <v>0</v>
      </c>
      <c r="AB17" s="10">
        <f t="shared" si="20"/>
        <v>0</v>
      </c>
      <c r="AC17" s="10">
        <f t="shared" si="21"/>
        <v>94.51125610283366</v>
      </c>
      <c r="AD17" s="67">
        <f t="shared" si="22"/>
        <v>0</v>
      </c>
      <c r="AE17" s="67">
        <f t="shared" si="27"/>
        <v>0</v>
      </c>
      <c r="AF17" s="67">
        <f t="shared" si="23"/>
        <v>0</v>
      </c>
      <c r="AG17" s="22">
        <f t="shared" si="24"/>
        <v>94</v>
      </c>
      <c r="AH17" s="70">
        <f t="shared" si="25"/>
        <v>30</v>
      </c>
      <c r="AI17" s="22">
        <f t="shared" si="26"/>
        <v>40.521970201160684</v>
      </c>
    </row>
    <row r="18" spans="1:35" ht="12.75">
      <c r="A18" s="4" t="s">
        <v>88</v>
      </c>
      <c r="B18" s="1"/>
      <c r="C18" s="1"/>
      <c r="D18" s="11" t="s">
        <v>111</v>
      </c>
      <c r="E18" s="11">
        <v>47</v>
      </c>
      <c r="H18" s="58">
        <f t="shared" si="9"/>
        <v>0</v>
      </c>
      <c r="I18" s="23">
        <f t="shared" si="10"/>
        <v>500000</v>
      </c>
      <c r="J18" s="23">
        <f t="shared" si="0"/>
        <v>0</v>
      </c>
      <c r="K18" s="23">
        <f t="shared" si="1"/>
        <v>0</v>
      </c>
      <c r="L18" s="23">
        <f t="shared" si="11"/>
        <v>0</v>
      </c>
      <c r="M18" s="23">
        <f t="shared" si="2"/>
        <v>0.0067394967565870025</v>
      </c>
      <c r="N18" s="23">
        <f t="shared" si="12"/>
        <v>0</v>
      </c>
      <c r="O18" s="23">
        <f t="shared" si="3"/>
        <v>6378137</v>
      </c>
      <c r="P18" s="23">
        <f t="shared" si="4"/>
        <v>6335439.327202763</v>
      </c>
      <c r="Q18" s="23">
        <f t="shared" si="5"/>
        <v>0.07842416681109433</v>
      </c>
      <c r="R18" s="23">
        <f t="shared" si="13"/>
        <v>0</v>
      </c>
      <c r="S18" s="23">
        <f t="shared" si="14"/>
        <v>0.0030751749700071752</v>
      </c>
      <c r="T18" s="23">
        <f t="shared" si="6"/>
        <v>7.890920127136131E-06</v>
      </c>
      <c r="U18" s="23">
        <f t="shared" si="7"/>
        <v>1.981059201934672E-08</v>
      </c>
      <c r="V18" s="23">
        <f t="shared" si="15"/>
        <v>0.07842416681109433</v>
      </c>
      <c r="W18" s="23">
        <f t="shared" si="16"/>
        <v>8.093112866987144E-05</v>
      </c>
      <c r="X18" s="23">
        <f t="shared" si="8"/>
        <v>1.2460193000466792E-07</v>
      </c>
      <c r="Y18" s="23">
        <f t="shared" si="17"/>
        <v>0.07834336028435447</v>
      </c>
      <c r="Z18" s="23">
        <f t="shared" si="18"/>
        <v>99</v>
      </c>
      <c r="AA18" s="23">
        <f t="shared" si="19"/>
        <v>0</v>
      </c>
      <c r="AB18" s="10">
        <f t="shared" si="20"/>
        <v>0</v>
      </c>
      <c r="AC18" s="10">
        <f t="shared" si="21"/>
        <v>94.51125610283366</v>
      </c>
      <c r="AD18" s="67">
        <f t="shared" si="22"/>
        <v>0</v>
      </c>
      <c r="AE18" s="67">
        <f t="shared" si="27"/>
        <v>0</v>
      </c>
      <c r="AF18" s="67">
        <f t="shared" si="23"/>
        <v>0</v>
      </c>
      <c r="AG18" s="22">
        <f t="shared" si="24"/>
        <v>94</v>
      </c>
      <c r="AH18" s="70">
        <f t="shared" si="25"/>
        <v>30</v>
      </c>
      <c r="AI18" s="22">
        <f t="shared" si="26"/>
        <v>40.521970201160684</v>
      </c>
    </row>
    <row r="19" spans="1:35" ht="12.75">
      <c r="A19" s="1" t="s">
        <v>60</v>
      </c>
      <c r="B19" s="1" t="s">
        <v>85</v>
      </c>
      <c r="C19" s="1">
        <f>Sin1</f>
        <v>4.84813681109536E-06</v>
      </c>
      <c r="D19" s="11" t="s">
        <v>111</v>
      </c>
      <c r="E19" s="11">
        <v>47</v>
      </c>
      <c r="H19" s="58">
        <f aca="true" t="shared" si="28" ref="H19:H37">IF(D19="N",F19,10000000-F19)</f>
        <v>0</v>
      </c>
      <c r="I19" s="23">
        <f aca="true" t="shared" si="29" ref="I19:I37">500000-G19</f>
        <v>500000</v>
      </c>
      <c r="J19" s="23">
        <f aca="true" t="shared" si="30" ref="J19:J37">F19/k0</f>
        <v>0</v>
      </c>
      <c r="K19" s="23">
        <f aca="true" t="shared" si="31" ref="K19:K37">J19/(a*(1-e^2/4-3*e^4/64-5*e^6/256))</f>
        <v>0</v>
      </c>
      <c r="L19" s="23">
        <f aca="true" t="shared" si="32" ref="L19:L37">K19+B$14*SIN(2*K19)+B$15*SIN(4*K19)+B$16*SIN(6*K19)+B$17*SIN(8*K19)</f>
        <v>0</v>
      </c>
      <c r="M19" s="23">
        <f aca="true" t="shared" si="33" ref="M19:M37">eisq*COS(L19)^2</f>
        <v>0.0067394967565870025</v>
      </c>
      <c r="N19" s="23">
        <f aca="true" t="shared" si="34" ref="N19:N37">TAN(L19)^2</f>
        <v>0</v>
      </c>
      <c r="O19" s="23">
        <f aca="true" t="shared" si="35" ref="O19:O37">a/(1-(e*SIN(L19))^2)^(1/2)</f>
        <v>6378137</v>
      </c>
      <c r="P19" s="23">
        <f aca="true" t="shared" si="36" ref="P19:P37">a*(1-e*e)/(1-(e*SIN(L19))^2)^(3/2)</f>
        <v>6335439.327202763</v>
      </c>
      <c r="Q19" s="23">
        <f aca="true" t="shared" si="37" ref="Q19:Q37">I19/(O19*k0)</f>
        <v>0.07842416681109433</v>
      </c>
      <c r="R19" s="23">
        <f aca="true" t="shared" si="38" ref="R19:R37">O19*TAN(L19)/P19</f>
        <v>0</v>
      </c>
      <c r="S19" s="23">
        <f aca="true" t="shared" si="39" ref="S19:S37">Q19*Q19/2</f>
        <v>0.0030751749700071752</v>
      </c>
      <c r="T19" s="23">
        <f aca="true" t="shared" si="40" ref="T19:T37">(5+3*N19+10*M19-4*M19*M19-9*eisq)*Q19^4/24</f>
        <v>7.890920127136131E-06</v>
      </c>
      <c r="U19" s="23">
        <f aca="true" t="shared" si="41" ref="U19:U37">(61+90*N19+298*M19+45*N19*N19-252*eisq-3*M19*M19)*Q19^6/720</f>
        <v>1.981059201934672E-08</v>
      </c>
      <c r="V19" s="23">
        <f aca="true" t="shared" si="42" ref="V19:V37">Q19</f>
        <v>0.07842416681109433</v>
      </c>
      <c r="W19" s="23">
        <f aca="true" t="shared" si="43" ref="W19:W37">(1+2*N19+M19)*Q19^3/6</f>
        <v>8.093112866987144E-05</v>
      </c>
      <c r="X19" s="23">
        <f aca="true" t="shared" si="44" ref="X19:X37">(5-2*M19+28*N19-3*M19^2+8*e1sq+24*N19^2)*Q19^5/120</f>
        <v>1.2460193000466792E-07</v>
      </c>
      <c r="Y19" s="23">
        <f aca="true" t="shared" si="45" ref="Y19:Y37">(V19-W19+X19)/COS(L19)</f>
        <v>0.07834336028435447</v>
      </c>
      <c r="Z19" s="23">
        <f aca="true" t="shared" si="46" ref="Z19:Z37">6*E19-183</f>
        <v>99</v>
      </c>
      <c r="AA19" s="23">
        <f aca="true" t="shared" si="47" ref="AA19:AA37">180*(L19-R19*(S19+T19+U19))/PI()</f>
        <v>0</v>
      </c>
      <c r="AB19" s="10">
        <f aca="true" t="shared" si="48" ref="AB19:AB37">IF(D19="N",AA19,-AA19)</f>
        <v>0</v>
      </c>
      <c r="AC19" s="10">
        <f aca="true" t="shared" si="49" ref="AC19:AC37">Z19-Y19*180/PI()</f>
        <v>94.51125610283366</v>
      </c>
      <c r="AD19" s="67">
        <f aca="true" t="shared" si="50" ref="AD19:AD37">TRUNC(AB19)</f>
        <v>0</v>
      </c>
      <c r="AE19" s="67">
        <f aca="true" t="shared" si="51" ref="AE19:AE37">INT(ABS(60*(AB19-AD19)))</f>
        <v>0</v>
      </c>
      <c r="AF19" s="67">
        <f aca="true" t="shared" si="52" ref="AF19:AF37">3600*(ABS(AB19)-ABS(AD19)-AE19/60)</f>
        <v>0</v>
      </c>
      <c r="AG19" s="22">
        <f aca="true" t="shared" si="53" ref="AG19:AG37">TRUNC(AC19)</f>
        <v>94</v>
      </c>
      <c r="AH19" s="70">
        <f aca="true" t="shared" si="54" ref="AH19:AH37">INT(ABS((60*(AC19-AG19))))</f>
        <v>30</v>
      </c>
      <c r="AI19" s="22">
        <f aca="true" t="shared" si="55" ref="AI19:AI37">3600*(ABS(AC19)-ABS(AG19)-AH19/60)</f>
        <v>40.521970201160684</v>
      </c>
    </row>
    <row r="20" spans="1:35" ht="12.75">
      <c r="A20" s="55"/>
      <c r="B20" s="18"/>
      <c r="C20" s="18"/>
      <c r="D20" s="11" t="s">
        <v>111</v>
      </c>
      <c r="E20" s="11">
        <v>47</v>
      </c>
      <c r="H20" s="58">
        <f t="shared" si="28"/>
        <v>0</v>
      </c>
      <c r="I20" s="23">
        <f t="shared" si="29"/>
        <v>500000</v>
      </c>
      <c r="J20" s="23">
        <f t="shared" si="30"/>
        <v>0</v>
      </c>
      <c r="K20" s="23">
        <f t="shared" si="31"/>
        <v>0</v>
      </c>
      <c r="L20" s="23">
        <f t="shared" si="32"/>
        <v>0</v>
      </c>
      <c r="M20" s="23">
        <f t="shared" si="33"/>
        <v>0.0067394967565870025</v>
      </c>
      <c r="N20" s="23">
        <f t="shared" si="34"/>
        <v>0</v>
      </c>
      <c r="O20" s="23">
        <f t="shared" si="35"/>
        <v>6378137</v>
      </c>
      <c r="P20" s="23">
        <f t="shared" si="36"/>
        <v>6335439.327202763</v>
      </c>
      <c r="Q20" s="23">
        <f t="shared" si="37"/>
        <v>0.07842416681109433</v>
      </c>
      <c r="R20" s="23">
        <f t="shared" si="38"/>
        <v>0</v>
      </c>
      <c r="S20" s="23">
        <f t="shared" si="39"/>
        <v>0.0030751749700071752</v>
      </c>
      <c r="T20" s="23">
        <f t="shared" si="40"/>
        <v>7.890920127136131E-06</v>
      </c>
      <c r="U20" s="23">
        <f t="shared" si="41"/>
        <v>1.981059201934672E-08</v>
      </c>
      <c r="V20" s="23">
        <f t="shared" si="42"/>
        <v>0.07842416681109433</v>
      </c>
      <c r="W20" s="23">
        <f t="shared" si="43"/>
        <v>8.093112866987144E-05</v>
      </c>
      <c r="X20" s="23">
        <f t="shared" si="44"/>
        <v>1.2460193000466792E-07</v>
      </c>
      <c r="Y20" s="23">
        <f t="shared" si="45"/>
        <v>0.07834336028435447</v>
      </c>
      <c r="Z20" s="23">
        <f t="shared" si="46"/>
        <v>99</v>
      </c>
      <c r="AA20" s="23">
        <f t="shared" si="47"/>
        <v>0</v>
      </c>
      <c r="AB20" s="10">
        <f t="shared" si="48"/>
        <v>0</v>
      </c>
      <c r="AC20" s="10">
        <f t="shared" si="49"/>
        <v>94.51125610283366</v>
      </c>
      <c r="AD20" s="67">
        <f t="shared" si="50"/>
        <v>0</v>
      </c>
      <c r="AE20" s="67">
        <f t="shared" si="51"/>
        <v>0</v>
      </c>
      <c r="AF20" s="67">
        <f t="shared" si="52"/>
        <v>0</v>
      </c>
      <c r="AG20" s="22">
        <f t="shared" si="53"/>
        <v>94</v>
      </c>
      <c r="AH20" s="70">
        <f t="shared" si="54"/>
        <v>30</v>
      </c>
      <c r="AI20" s="22">
        <f t="shared" si="55"/>
        <v>40.521970201160684</v>
      </c>
    </row>
    <row r="21" spans="1:35" ht="12.75">
      <c r="A21" s="18"/>
      <c r="B21" s="18"/>
      <c r="C21" s="18"/>
      <c r="D21" s="11" t="s">
        <v>111</v>
      </c>
      <c r="E21" s="11">
        <v>47</v>
      </c>
      <c r="H21" s="58">
        <f t="shared" si="28"/>
        <v>0</v>
      </c>
      <c r="I21" s="23">
        <f t="shared" si="29"/>
        <v>500000</v>
      </c>
      <c r="J21" s="23">
        <f t="shared" si="30"/>
        <v>0</v>
      </c>
      <c r="K21" s="23">
        <f t="shared" si="31"/>
        <v>0</v>
      </c>
      <c r="L21" s="23">
        <f t="shared" si="32"/>
        <v>0</v>
      </c>
      <c r="M21" s="23">
        <f t="shared" si="33"/>
        <v>0.0067394967565870025</v>
      </c>
      <c r="N21" s="23">
        <f t="shared" si="34"/>
        <v>0</v>
      </c>
      <c r="O21" s="23">
        <f t="shared" si="35"/>
        <v>6378137</v>
      </c>
      <c r="P21" s="23">
        <f t="shared" si="36"/>
        <v>6335439.327202763</v>
      </c>
      <c r="Q21" s="23">
        <f t="shared" si="37"/>
        <v>0.07842416681109433</v>
      </c>
      <c r="R21" s="23">
        <f t="shared" si="38"/>
        <v>0</v>
      </c>
      <c r="S21" s="23">
        <f t="shared" si="39"/>
        <v>0.0030751749700071752</v>
      </c>
      <c r="T21" s="23">
        <f t="shared" si="40"/>
        <v>7.890920127136131E-06</v>
      </c>
      <c r="U21" s="23">
        <f t="shared" si="41"/>
        <v>1.981059201934672E-08</v>
      </c>
      <c r="V21" s="23">
        <f t="shared" si="42"/>
        <v>0.07842416681109433</v>
      </c>
      <c r="W21" s="23">
        <f t="shared" si="43"/>
        <v>8.093112866987144E-05</v>
      </c>
      <c r="X21" s="23">
        <f t="shared" si="44"/>
        <v>1.2460193000466792E-07</v>
      </c>
      <c r="Y21" s="23">
        <f t="shared" si="45"/>
        <v>0.07834336028435447</v>
      </c>
      <c r="Z21" s="23">
        <f t="shared" si="46"/>
        <v>99</v>
      </c>
      <c r="AA21" s="23">
        <f t="shared" si="47"/>
        <v>0</v>
      </c>
      <c r="AB21" s="10">
        <f t="shared" si="48"/>
        <v>0</v>
      </c>
      <c r="AC21" s="10">
        <f t="shared" si="49"/>
        <v>94.51125610283366</v>
      </c>
      <c r="AD21" s="67">
        <f t="shared" si="50"/>
        <v>0</v>
      </c>
      <c r="AE21" s="67">
        <f t="shared" si="51"/>
        <v>0</v>
      </c>
      <c r="AF21" s="67">
        <f t="shared" si="52"/>
        <v>0</v>
      </c>
      <c r="AG21" s="22">
        <f t="shared" si="53"/>
        <v>94</v>
      </c>
      <c r="AH21" s="70">
        <f t="shared" si="54"/>
        <v>30</v>
      </c>
      <c r="AI21" s="22">
        <f t="shared" si="55"/>
        <v>40.521970201160684</v>
      </c>
    </row>
    <row r="22" spans="1:35" ht="12.75">
      <c r="A22" s="18"/>
      <c r="B22" s="18"/>
      <c r="C22" s="18"/>
      <c r="D22" s="11" t="s">
        <v>111</v>
      </c>
      <c r="E22" s="11">
        <v>47</v>
      </c>
      <c r="H22" s="58">
        <f t="shared" si="28"/>
        <v>0</v>
      </c>
      <c r="I22" s="23">
        <f t="shared" si="29"/>
        <v>500000</v>
      </c>
      <c r="J22" s="23">
        <f t="shared" si="30"/>
        <v>0</v>
      </c>
      <c r="K22" s="23">
        <f t="shared" si="31"/>
        <v>0</v>
      </c>
      <c r="L22" s="23">
        <f t="shared" si="32"/>
        <v>0</v>
      </c>
      <c r="M22" s="23">
        <f t="shared" si="33"/>
        <v>0.0067394967565870025</v>
      </c>
      <c r="N22" s="23">
        <f t="shared" si="34"/>
        <v>0</v>
      </c>
      <c r="O22" s="23">
        <f t="shared" si="35"/>
        <v>6378137</v>
      </c>
      <c r="P22" s="23">
        <f t="shared" si="36"/>
        <v>6335439.327202763</v>
      </c>
      <c r="Q22" s="23">
        <f t="shared" si="37"/>
        <v>0.07842416681109433</v>
      </c>
      <c r="R22" s="23">
        <f t="shared" si="38"/>
        <v>0</v>
      </c>
      <c r="S22" s="23">
        <f t="shared" si="39"/>
        <v>0.0030751749700071752</v>
      </c>
      <c r="T22" s="23">
        <f t="shared" si="40"/>
        <v>7.890920127136131E-06</v>
      </c>
      <c r="U22" s="23">
        <f t="shared" si="41"/>
        <v>1.981059201934672E-08</v>
      </c>
      <c r="V22" s="23">
        <f t="shared" si="42"/>
        <v>0.07842416681109433</v>
      </c>
      <c r="W22" s="23">
        <f t="shared" si="43"/>
        <v>8.093112866987144E-05</v>
      </c>
      <c r="X22" s="23">
        <f t="shared" si="44"/>
        <v>1.2460193000466792E-07</v>
      </c>
      <c r="Y22" s="23">
        <f t="shared" si="45"/>
        <v>0.07834336028435447</v>
      </c>
      <c r="Z22" s="23">
        <f t="shared" si="46"/>
        <v>99</v>
      </c>
      <c r="AA22" s="23">
        <f t="shared" si="47"/>
        <v>0</v>
      </c>
      <c r="AB22" s="10">
        <f t="shared" si="48"/>
        <v>0</v>
      </c>
      <c r="AC22" s="10">
        <f t="shared" si="49"/>
        <v>94.51125610283366</v>
      </c>
      <c r="AD22" s="67">
        <f t="shared" si="50"/>
        <v>0</v>
      </c>
      <c r="AE22" s="67">
        <f t="shared" si="51"/>
        <v>0</v>
      </c>
      <c r="AF22" s="67">
        <f t="shared" si="52"/>
        <v>0</v>
      </c>
      <c r="AG22" s="22">
        <f t="shared" si="53"/>
        <v>94</v>
      </c>
      <c r="AH22" s="70">
        <f t="shared" si="54"/>
        <v>30</v>
      </c>
      <c r="AI22" s="22">
        <f t="shared" si="55"/>
        <v>40.521970201160684</v>
      </c>
    </row>
    <row r="23" spans="1:35" ht="12.75">
      <c r="A23" s="18"/>
      <c r="B23" s="18"/>
      <c r="C23" s="18"/>
      <c r="D23" s="11" t="s">
        <v>111</v>
      </c>
      <c r="E23" s="11">
        <v>47</v>
      </c>
      <c r="H23" s="58">
        <f t="shared" si="28"/>
        <v>0</v>
      </c>
      <c r="I23" s="23">
        <f t="shared" si="29"/>
        <v>500000</v>
      </c>
      <c r="J23" s="23">
        <f t="shared" si="30"/>
        <v>0</v>
      </c>
      <c r="K23" s="23">
        <f t="shared" si="31"/>
        <v>0</v>
      </c>
      <c r="L23" s="23">
        <f t="shared" si="32"/>
        <v>0</v>
      </c>
      <c r="M23" s="23">
        <f t="shared" si="33"/>
        <v>0.0067394967565870025</v>
      </c>
      <c r="N23" s="23">
        <f t="shared" si="34"/>
        <v>0</v>
      </c>
      <c r="O23" s="23">
        <f t="shared" si="35"/>
        <v>6378137</v>
      </c>
      <c r="P23" s="23">
        <f t="shared" si="36"/>
        <v>6335439.327202763</v>
      </c>
      <c r="Q23" s="23">
        <f t="shared" si="37"/>
        <v>0.07842416681109433</v>
      </c>
      <c r="R23" s="23">
        <f t="shared" si="38"/>
        <v>0</v>
      </c>
      <c r="S23" s="23">
        <f t="shared" si="39"/>
        <v>0.0030751749700071752</v>
      </c>
      <c r="T23" s="23">
        <f t="shared" si="40"/>
        <v>7.890920127136131E-06</v>
      </c>
      <c r="U23" s="23">
        <f t="shared" si="41"/>
        <v>1.981059201934672E-08</v>
      </c>
      <c r="V23" s="23">
        <f t="shared" si="42"/>
        <v>0.07842416681109433</v>
      </c>
      <c r="W23" s="23">
        <f t="shared" si="43"/>
        <v>8.093112866987144E-05</v>
      </c>
      <c r="X23" s="23">
        <f t="shared" si="44"/>
        <v>1.2460193000466792E-07</v>
      </c>
      <c r="Y23" s="23">
        <f t="shared" si="45"/>
        <v>0.07834336028435447</v>
      </c>
      <c r="Z23" s="23">
        <f t="shared" si="46"/>
        <v>99</v>
      </c>
      <c r="AA23" s="23">
        <f t="shared" si="47"/>
        <v>0</v>
      </c>
      <c r="AB23" s="10">
        <f t="shared" si="48"/>
        <v>0</v>
      </c>
      <c r="AC23" s="10">
        <f t="shared" si="49"/>
        <v>94.51125610283366</v>
      </c>
      <c r="AD23" s="67">
        <f t="shared" si="50"/>
        <v>0</v>
      </c>
      <c r="AE23" s="67">
        <f t="shared" si="51"/>
        <v>0</v>
      </c>
      <c r="AF23" s="67">
        <f t="shared" si="52"/>
        <v>0</v>
      </c>
      <c r="AG23" s="22">
        <f t="shared" si="53"/>
        <v>94</v>
      </c>
      <c r="AH23" s="70">
        <f t="shared" si="54"/>
        <v>30</v>
      </c>
      <c r="AI23" s="22">
        <f t="shared" si="55"/>
        <v>40.521970201160684</v>
      </c>
    </row>
    <row r="24" spans="1:35" ht="12.75">
      <c r="A24" s="18"/>
      <c r="B24" s="18"/>
      <c r="C24" s="18"/>
      <c r="D24" s="11" t="s">
        <v>111</v>
      </c>
      <c r="E24" s="11">
        <v>47</v>
      </c>
      <c r="H24" s="58">
        <f t="shared" si="28"/>
        <v>0</v>
      </c>
      <c r="I24" s="23">
        <f t="shared" si="29"/>
        <v>500000</v>
      </c>
      <c r="J24" s="23">
        <f t="shared" si="30"/>
        <v>0</v>
      </c>
      <c r="K24" s="23">
        <f t="shared" si="31"/>
        <v>0</v>
      </c>
      <c r="L24" s="23">
        <f t="shared" si="32"/>
        <v>0</v>
      </c>
      <c r="M24" s="23">
        <f t="shared" si="33"/>
        <v>0.0067394967565870025</v>
      </c>
      <c r="N24" s="23">
        <f t="shared" si="34"/>
        <v>0</v>
      </c>
      <c r="O24" s="23">
        <f t="shared" si="35"/>
        <v>6378137</v>
      </c>
      <c r="P24" s="23">
        <f t="shared" si="36"/>
        <v>6335439.327202763</v>
      </c>
      <c r="Q24" s="23">
        <f t="shared" si="37"/>
        <v>0.07842416681109433</v>
      </c>
      <c r="R24" s="23">
        <f t="shared" si="38"/>
        <v>0</v>
      </c>
      <c r="S24" s="23">
        <f t="shared" si="39"/>
        <v>0.0030751749700071752</v>
      </c>
      <c r="T24" s="23">
        <f t="shared" si="40"/>
        <v>7.890920127136131E-06</v>
      </c>
      <c r="U24" s="23">
        <f t="shared" si="41"/>
        <v>1.981059201934672E-08</v>
      </c>
      <c r="V24" s="23">
        <f t="shared" si="42"/>
        <v>0.07842416681109433</v>
      </c>
      <c r="W24" s="23">
        <f t="shared" si="43"/>
        <v>8.093112866987144E-05</v>
      </c>
      <c r="X24" s="23">
        <f t="shared" si="44"/>
        <v>1.2460193000466792E-07</v>
      </c>
      <c r="Y24" s="23">
        <f t="shared" si="45"/>
        <v>0.07834336028435447</v>
      </c>
      <c r="Z24" s="23">
        <f t="shared" si="46"/>
        <v>99</v>
      </c>
      <c r="AA24" s="23">
        <f t="shared" si="47"/>
        <v>0</v>
      </c>
      <c r="AB24" s="10">
        <f t="shared" si="48"/>
        <v>0</v>
      </c>
      <c r="AC24" s="10">
        <f t="shared" si="49"/>
        <v>94.51125610283366</v>
      </c>
      <c r="AD24" s="67">
        <f t="shared" si="50"/>
        <v>0</v>
      </c>
      <c r="AE24" s="67">
        <f t="shared" si="51"/>
        <v>0</v>
      </c>
      <c r="AF24" s="67">
        <f t="shared" si="52"/>
        <v>0</v>
      </c>
      <c r="AG24" s="22">
        <f t="shared" si="53"/>
        <v>94</v>
      </c>
      <c r="AH24" s="70">
        <f t="shared" si="54"/>
        <v>30</v>
      </c>
      <c r="AI24" s="22">
        <f t="shared" si="55"/>
        <v>40.521970201160684</v>
      </c>
    </row>
    <row r="25" spans="1:35" ht="12.75">
      <c r="A25" s="55"/>
      <c r="B25" s="18"/>
      <c r="C25" s="18"/>
      <c r="D25" s="11" t="s">
        <v>111</v>
      </c>
      <c r="E25" s="11">
        <v>47</v>
      </c>
      <c r="H25" s="58">
        <f t="shared" si="28"/>
        <v>0</v>
      </c>
      <c r="I25" s="23">
        <f t="shared" si="29"/>
        <v>500000</v>
      </c>
      <c r="J25" s="23">
        <f t="shared" si="30"/>
        <v>0</v>
      </c>
      <c r="K25" s="23">
        <f t="shared" si="31"/>
        <v>0</v>
      </c>
      <c r="L25" s="23">
        <f t="shared" si="32"/>
        <v>0</v>
      </c>
      <c r="M25" s="23">
        <f t="shared" si="33"/>
        <v>0.0067394967565870025</v>
      </c>
      <c r="N25" s="23">
        <f t="shared" si="34"/>
        <v>0</v>
      </c>
      <c r="O25" s="23">
        <f t="shared" si="35"/>
        <v>6378137</v>
      </c>
      <c r="P25" s="23">
        <f t="shared" si="36"/>
        <v>6335439.327202763</v>
      </c>
      <c r="Q25" s="23">
        <f t="shared" si="37"/>
        <v>0.07842416681109433</v>
      </c>
      <c r="R25" s="23">
        <f t="shared" si="38"/>
        <v>0</v>
      </c>
      <c r="S25" s="23">
        <f t="shared" si="39"/>
        <v>0.0030751749700071752</v>
      </c>
      <c r="T25" s="23">
        <f t="shared" si="40"/>
        <v>7.890920127136131E-06</v>
      </c>
      <c r="U25" s="23">
        <f t="shared" si="41"/>
        <v>1.981059201934672E-08</v>
      </c>
      <c r="V25" s="23">
        <f t="shared" si="42"/>
        <v>0.07842416681109433</v>
      </c>
      <c r="W25" s="23">
        <f t="shared" si="43"/>
        <v>8.093112866987144E-05</v>
      </c>
      <c r="X25" s="23">
        <f t="shared" si="44"/>
        <v>1.2460193000466792E-07</v>
      </c>
      <c r="Y25" s="23">
        <f t="shared" si="45"/>
        <v>0.07834336028435447</v>
      </c>
      <c r="Z25" s="23">
        <f t="shared" si="46"/>
        <v>99</v>
      </c>
      <c r="AA25" s="23">
        <f t="shared" si="47"/>
        <v>0</v>
      </c>
      <c r="AB25" s="10">
        <f t="shared" si="48"/>
        <v>0</v>
      </c>
      <c r="AC25" s="10">
        <f t="shared" si="49"/>
        <v>94.51125610283366</v>
      </c>
      <c r="AD25" s="67">
        <f t="shared" si="50"/>
        <v>0</v>
      </c>
      <c r="AE25" s="67">
        <f t="shared" si="51"/>
        <v>0</v>
      </c>
      <c r="AF25" s="67">
        <f t="shared" si="52"/>
        <v>0</v>
      </c>
      <c r="AG25" s="22">
        <f t="shared" si="53"/>
        <v>94</v>
      </c>
      <c r="AH25" s="70">
        <f t="shared" si="54"/>
        <v>30</v>
      </c>
      <c r="AI25" s="22">
        <f t="shared" si="55"/>
        <v>40.521970201160684</v>
      </c>
    </row>
    <row r="26" spans="1:35" ht="12.75">
      <c r="A26" s="18"/>
      <c r="B26" s="18"/>
      <c r="C26" s="18"/>
      <c r="D26" s="11" t="s">
        <v>111</v>
      </c>
      <c r="E26" s="11">
        <v>47</v>
      </c>
      <c r="H26" s="58">
        <f t="shared" si="28"/>
        <v>0</v>
      </c>
      <c r="I26" s="23">
        <f t="shared" si="29"/>
        <v>500000</v>
      </c>
      <c r="J26" s="23">
        <f t="shared" si="30"/>
        <v>0</v>
      </c>
      <c r="K26" s="23">
        <f t="shared" si="31"/>
        <v>0</v>
      </c>
      <c r="L26" s="23">
        <f t="shared" si="32"/>
        <v>0</v>
      </c>
      <c r="M26" s="23">
        <f t="shared" si="33"/>
        <v>0.0067394967565870025</v>
      </c>
      <c r="N26" s="23">
        <f t="shared" si="34"/>
        <v>0</v>
      </c>
      <c r="O26" s="23">
        <f t="shared" si="35"/>
        <v>6378137</v>
      </c>
      <c r="P26" s="23">
        <f t="shared" si="36"/>
        <v>6335439.327202763</v>
      </c>
      <c r="Q26" s="23">
        <f t="shared" si="37"/>
        <v>0.07842416681109433</v>
      </c>
      <c r="R26" s="23">
        <f t="shared" si="38"/>
        <v>0</v>
      </c>
      <c r="S26" s="23">
        <f t="shared" si="39"/>
        <v>0.0030751749700071752</v>
      </c>
      <c r="T26" s="23">
        <f t="shared" si="40"/>
        <v>7.890920127136131E-06</v>
      </c>
      <c r="U26" s="23">
        <f t="shared" si="41"/>
        <v>1.981059201934672E-08</v>
      </c>
      <c r="V26" s="23">
        <f t="shared" si="42"/>
        <v>0.07842416681109433</v>
      </c>
      <c r="W26" s="23">
        <f t="shared" si="43"/>
        <v>8.093112866987144E-05</v>
      </c>
      <c r="X26" s="23">
        <f t="shared" si="44"/>
        <v>1.2460193000466792E-07</v>
      </c>
      <c r="Y26" s="23">
        <f t="shared" si="45"/>
        <v>0.07834336028435447</v>
      </c>
      <c r="Z26" s="23">
        <f t="shared" si="46"/>
        <v>99</v>
      </c>
      <c r="AA26" s="23">
        <f t="shared" si="47"/>
        <v>0</v>
      </c>
      <c r="AB26" s="10">
        <f t="shared" si="48"/>
        <v>0</v>
      </c>
      <c r="AC26" s="10">
        <f t="shared" si="49"/>
        <v>94.51125610283366</v>
      </c>
      <c r="AD26" s="67">
        <f t="shared" si="50"/>
        <v>0</v>
      </c>
      <c r="AE26" s="67">
        <f t="shared" si="51"/>
        <v>0</v>
      </c>
      <c r="AF26" s="67">
        <f t="shared" si="52"/>
        <v>0</v>
      </c>
      <c r="AG26" s="22">
        <f t="shared" si="53"/>
        <v>94</v>
      </c>
      <c r="AH26" s="70">
        <f t="shared" si="54"/>
        <v>30</v>
      </c>
      <c r="AI26" s="22">
        <f t="shared" si="55"/>
        <v>40.521970201160684</v>
      </c>
    </row>
    <row r="27" spans="1:35" ht="12.75">
      <c r="A27" s="18"/>
      <c r="B27" s="18"/>
      <c r="C27" s="18"/>
      <c r="D27" s="11" t="s">
        <v>111</v>
      </c>
      <c r="E27" s="11">
        <v>47</v>
      </c>
      <c r="H27" s="58">
        <f t="shared" si="28"/>
        <v>0</v>
      </c>
      <c r="I27" s="23">
        <f t="shared" si="29"/>
        <v>500000</v>
      </c>
      <c r="J27" s="23">
        <f t="shared" si="30"/>
        <v>0</v>
      </c>
      <c r="K27" s="23">
        <f t="shared" si="31"/>
        <v>0</v>
      </c>
      <c r="L27" s="23">
        <f t="shared" si="32"/>
        <v>0</v>
      </c>
      <c r="M27" s="23">
        <f t="shared" si="33"/>
        <v>0.0067394967565870025</v>
      </c>
      <c r="N27" s="23">
        <f t="shared" si="34"/>
        <v>0</v>
      </c>
      <c r="O27" s="23">
        <f t="shared" si="35"/>
        <v>6378137</v>
      </c>
      <c r="P27" s="23">
        <f t="shared" si="36"/>
        <v>6335439.327202763</v>
      </c>
      <c r="Q27" s="23">
        <f t="shared" si="37"/>
        <v>0.07842416681109433</v>
      </c>
      <c r="R27" s="23">
        <f t="shared" si="38"/>
        <v>0</v>
      </c>
      <c r="S27" s="23">
        <f t="shared" si="39"/>
        <v>0.0030751749700071752</v>
      </c>
      <c r="T27" s="23">
        <f t="shared" si="40"/>
        <v>7.890920127136131E-06</v>
      </c>
      <c r="U27" s="23">
        <f t="shared" si="41"/>
        <v>1.981059201934672E-08</v>
      </c>
      <c r="V27" s="23">
        <f t="shared" si="42"/>
        <v>0.07842416681109433</v>
      </c>
      <c r="W27" s="23">
        <f t="shared" si="43"/>
        <v>8.093112866987144E-05</v>
      </c>
      <c r="X27" s="23">
        <f t="shared" si="44"/>
        <v>1.2460193000466792E-07</v>
      </c>
      <c r="Y27" s="23">
        <f t="shared" si="45"/>
        <v>0.07834336028435447</v>
      </c>
      <c r="Z27" s="23">
        <f t="shared" si="46"/>
        <v>99</v>
      </c>
      <c r="AA27" s="23">
        <f t="shared" si="47"/>
        <v>0</v>
      </c>
      <c r="AB27" s="10">
        <f t="shared" si="48"/>
        <v>0</v>
      </c>
      <c r="AC27" s="10">
        <f t="shared" si="49"/>
        <v>94.51125610283366</v>
      </c>
      <c r="AD27" s="67">
        <f t="shared" si="50"/>
        <v>0</v>
      </c>
      <c r="AE27" s="67">
        <f t="shared" si="51"/>
        <v>0</v>
      </c>
      <c r="AF27" s="67">
        <f t="shared" si="52"/>
        <v>0</v>
      </c>
      <c r="AG27" s="22">
        <f t="shared" si="53"/>
        <v>94</v>
      </c>
      <c r="AH27" s="70">
        <f t="shared" si="54"/>
        <v>30</v>
      </c>
      <c r="AI27" s="22">
        <f t="shared" si="55"/>
        <v>40.521970201160684</v>
      </c>
    </row>
    <row r="28" spans="1:35" ht="12.75">
      <c r="A28" s="18"/>
      <c r="B28" s="18"/>
      <c r="C28" s="18"/>
      <c r="D28" s="11" t="s">
        <v>111</v>
      </c>
      <c r="E28" s="11">
        <v>47</v>
      </c>
      <c r="H28" s="58">
        <f t="shared" si="28"/>
        <v>0</v>
      </c>
      <c r="I28" s="23">
        <f t="shared" si="29"/>
        <v>500000</v>
      </c>
      <c r="J28" s="23">
        <f t="shared" si="30"/>
        <v>0</v>
      </c>
      <c r="K28" s="23">
        <f t="shared" si="31"/>
        <v>0</v>
      </c>
      <c r="L28" s="23">
        <f t="shared" si="32"/>
        <v>0</v>
      </c>
      <c r="M28" s="23">
        <f t="shared" si="33"/>
        <v>0.0067394967565870025</v>
      </c>
      <c r="N28" s="23">
        <f t="shared" si="34"/>
        <v>0</v>
      </c>
      <c r="O28" s="23">
        <f t="shared" si="35"/>
        <v>6378137</v>
      </c>
      <c r="P28" s="23">
        <f t="shared" si="36"/>
        <v>6335439.327202763</v>
      </c>
      <c r="Q28" s="23">
        <f t="shared" si="37"/>
        <v>0.07842416681109433</v>
      </c>
      <c r="R28" s="23">
        <f t="shared" si="38"/>
        <v>0</v>
      </c>
      <c r="S28" s="23">
        <f t="shared" si="39"/>
        <v>0.0030751749700071752</v>
      </c>
      <c r="T28" s="23">
        <f t="shared" si="40"/>
        <v>7.890920127136131E-06</v>
      </c>
      <c r="U28" s="23">
        <f t="shared" si="41"/>
        <v>1.981059201934672E-08</v>
      </c>
      <c r="V28" s="23">
        <f t="shared" si="42"/>
        <v>0.07842416681109433</v>
      </c>
      <c r="W28" s="23">
        <f t="shared" si="43"/>
        <v>8.093112866987144E-05</v>
      </c>
      <c r="X28" s="23">
        <f t="shared" si="44"/>
        <v>1.2460193000466792E-07</v>
      </c>
      <c r="Y28" s="23">
        <f t="shared" si="45"/>
        <v>0.07834336028435447</v>
      </c>
      <c r="Z28" s="23">
        <f t="shared" si="46"/>
        <v>99</v>
      </c>
      <c r="AA28" s="23">
        <f t="shared" si="47"/>
        <v>0</v>
      </c>
      <c r="AB28" s="10">
        <f t="shared" si="48"/>
        <v>0</v>
      </c>
      <c r="AC28" s="10">
        <f t="shared" si="49"/>
        <v>94.51125610283366</v>
      </c>
      <c r="AD28" s="67">
        <f t="shared" si="50"/>
        <v>0</v>
      </c>
      <c r="AE28" s="67">
        <f t="shared" si="51"/>
        <v>0</v>
      </c>
      <c r="AF28" s="67">
        <f t="shared" si="52"/>
        <v>0</v>
      </c>
      <c r="AG28" s="22">
        <f t="shared" si="53"/>
        <v>94</v>
      </c>
      <c r="AH28" s="70">
        <f t="shared" si="54"/>
        <v>30</v>
      </c>
      <c r="AI28" s="22">
        <f t="shared" si="55"/>
        <v>40.521970201160684</v>
      </c>
    </row>
    <row r="29" spans="4:35" ht="12.75">
      <c r="D29" s="11" t="s">
        <v>111</v>
      </c>
      <c r="E29" s="11">
        <v>47</v>
      </c>
      <c r="H29" s="58">
        <f t="shared" si="28"/>
        <v>0</v>
      </c>
      <c r="I29" s="23">
        <f t="shared" si="29"/>
        <v>500000</v>
      </c>
      <c r="J29" s="23">
        <f t="shared" si="30"/>
        <v>0</v>
      </c>
      <c r="K29" s="23">
        <f t="shared" si="31"/>
        <v>0</v>
      </c>
      <c r="L29" s="23">
        <f t="shared" si="32"/>
        <v>0</v>
      </c>
      <c r="M29" s="23">
        <f t="shared" si="33"/>
        <v>0.0067394967565870025</v>
      </c>
      <c r="N29" s="23">
        <f t="shared" si="34"/>
        <v>0</v>
      </c>
      <c r="O29" s="23">
        <f t="shared" si="35"/>
        <v>6378137</v>
      </c>
      <c r="P29" s="23">
        <f t="shared" si="36"/>
        <v>6335439.327202763</v>
      </c>
      <c r="Q29" s="23">
        <f t="shared" si="37"/>
        <v>0.07842416681109433</v>
      </c>
      <c r="R29" s="23">
        <f t="shared" si="38"/>
        <v>0</v>
      </c>
      <c r="S29" s="23">
        <f t="shared" si="39"/>
        <v>0.0030751749700071752</v>
      </c>
      <c r="T29" s="23">
        <f t="shared" si="40"/>
        <v>7.890920127136131E-06</v>
      </c>
      <c r="U29" s="23">
        <f t="shared" si="41"/>
        <v>1.981059201934672E-08</v>
      </c>
      <c r="V29" s="23">
        <f t="shared" si="42"/>
        <v>0.07842416681109433</v>
      </c>
      <c r="W29" s="23">
        <f t="shared" si="43"/>
        <v>8.093112866987144E-05</v>
      </c>
      <c r="X29" s="23">
        <f t="shared" si="44"/>
        <v>1.2460193000466792E-07</v>
      </c>
      <c r="Y29" s="23">
        <f t="shared" si="45"/>
        <v>0.07834336028435447</v>
      </c>
      <c r="Z29" s="23">
        <f t="shared" si="46"/>
        <v>99</v>
      </c>
      <c r="AA29" s="23">
        <f t="shared" si="47"/>
        <v>0</v>
      </c>
      <c r="AB29" s="10">
        <f t="shared" si="48"/>
        <v>0</v>
      </c>
      <c r="AC29" s="10">
        <f t="shared" si="49"/>
        <v>94.51125610283366</v>
      </c>
      <c r="AD29" s="67">
        <f t="shared" si="50"/>
        <v>0</v>
      </c>
      <c r="AE29" s="67">
        <f t="shared" si="51"/>
        <v>0</v>
      </c>
      <c r="AF29" s="67">
        <f t="shared" si="52"/>
        <v>0</v>
      </c>
      <c r="AG29" s="22">
        <f t="shared" si="53"/>
        <v>94</v>
      </c>
      <c r="AH29" s="70">
        <f t="shared" si="54"/>
        <v>30</v>
      </c>
      <c r="AI29" s="22">
        <f t="shared" si="55"/>
        <v>40.521970201160684</v>
      </c>
    </row>
    <row r="30" spans="4:35" ht="12.75">
      <c r="D30" s="11" t="s">
        <v>111</v>
      </c>
      <c r="E30" s="11">
        <v>47</v>
      </c>
      <c r="H30" s="58">
        <f t="shared" si="28"/>
        <v>0</v>
      </c>
      <c r="I30" s="23">
        <f t="shared" si="29"/>
        <v>500000</v>
      </c>
      <c r="J30" s="23">
        <f t="shared" si="30"/>
        <v>0</v>
      </c>
      <c r="K30" s="23">
        <f t="shared" si="31"/>
        <v>0</v>
      </c>
      <c r="L30" s="23">
        <f t="shared" si="32"/>
        <v>0</v>
      </c>
      <c r="M30" s="23">
        <f t="shared" si="33"/>
        <v>0.0067394967565870025</v>
      </c>
      <c r="N30" s="23">
        <f t="shared" si="34"/>
        <v>0</v>
      </c>
      <c r="O30" s="23">
        <f t="shared" si="35"/>
        <v>6378137</v>
      </c>
      <c r="P30" s="23">
        <f t="shared" si="36"/>
        <v>6335439.327202763</v>
      </c>
      <c r="Q30" s="23">
        <f t="shared" si="37"/>
        <v>0.07842416681109433</v>
      </c>
      <c r="R30" s="23">
        <f t="shared" si="38"/>
        <v>0</v>
      </c>
      <c r="S30" s="23">
        <f t="shared" si="39"/>
        <v>0.0030751749700071752</v>
      </c>
      <c r="T30" s="23">
        <f t="shared" si="40"/>
        <v>7.890920127136131E-06</v>
      </c>
      <c r="U30" s="23">
        <f t="shared" si="41"/>
        <v>1.981059201934672E-08</v>
      </c>
      <c r="V30" s="23">
        <f t="shared" si="42"/>
        <v>0.07842416681109433</v>
      </c>
      <c r="W30" s="23">
        <f t="shared" si="43"/>
        <v>8.093112866987144E-05</v>
      </c>
      <c r="X30" s="23">
        <f t="shared" si="44"/>
        <v>1.2460193000466792E-07</v>
      </c>
      <c r="Y30" s="23">
        <f t="shared" si="45"/>
        <v>0.07834336028435447</v>
      </c>
      <c r="Z30" s="23">
        <f t="shared" si="46"/>
        <v>99</v>
      </c>
      <c r="AA30" s="23">
        <f t="shared" si="47"/>
        <v>0</v>
      </c>
      <c r="AB30" s="10">
        <f t="shared" si="48"/>
        <v>0</v>
      </c>
      <c r="AC30" s="10">
        <f t="shared" si="49"/>
        <v>94.51125610283366</v>
      </c>
      <c r="AD30" s="67">
        <f t="shared" si="50"/>
        <v>0</v>
      </c>
      <c r="AE30" s="67">
        <f t="shared" si="51"/>
        <v>0</v>
      </c>
      <c r="AF30" s="67">
        <f t="shared" si="52"/>
        <v>0</v>
      </c>
      <c r="AG30" s="22">
        <f t="shared" si="53"/>
        <v>94</v>
      </c>
      <c r="AH30" s="70">
        <f t="shared" si="54"/>
        <v>30</v>
      </c>
      <c r="AI30" s="22">
        <f t="shared" si="55"/>
        <v>40.521970201160684</v>
      </c>
    </row>
    <row r="31" spans="4:35" ht="12.75">
      <c r="D31" s="11" t="s">
        <v>111</v>
      </c>
      <c r="E31" s="11">
        <v>47</v>
      </c>
      <c r="H31" s="58">
        <f t="shared" si="28"/>
        <v>0</v>
      </c>
      <c r="I31" s="23">
        <f t="shared" si="29"/>
        <v>500000</v>
      </c>
      <c r="J31" s="23">
        <f t="shared" si="30"/>
        <v>0</v>
      </c>
      <c r="K31" s="23">
        <f t="shared" si="31"/>
        <v>0</v>
      </c>
      <c r="L31" s="23">
        <f t="shared" si="32"/>
        <v>0</v>
      </c>
      <c r="M31" s="23">
        <f t="shared" si="33"/>
        <v>0.0067394967565870025</v>
      </c>
      <c r="N31" s="23">
        <f t="shared" si="34"/>
        <v>0</v>
      </c>
      <c r="O31" s="23">
        <f t="shared" si="35"/>
        <v>6378137</v>
      </c>
      <c r="P31" s="23">
        <f t="shared" si="36"/>
        <v>6335439.327202763</v>
      </c>
      <c r="Q31" s="23">
        <f t="shared" si="37"/>
        <v>0.07842416681109433</v>
      </c>
      <c r="R31" s="23">
        <f t="shared" si="38"/>
        <v>0</v>
      </c>
      <c r="S31" s="23">
        <f t="shared" si="39"/>
        <v>0.0030751749700071752</v>
      </c>
      <c r="T31" s="23">
        <f t="shared" si="40"/>
        <v>7.890920127136131E-06</v>
      </c>
      <c r="U31" s="23">
        <f t="shared" si="41"/>
        <v>1.981059201934672E-08</v>
      </c>
      <c r="V31" s="23">
        <f t="shared" si="42"/>
        <v>0.07842416681109433</v>
      </c>
      <c r="W31" s="23">
        <f t="shared" si="43"/>
        <v>8.093112866987144E-05</v>
      </c>
      <c r="X31" s="23">
        <f t="shared" si="44"/>
        <v>1.2460193000466792E-07</v>
      </c>
      <c r="Y31" s="23">
        <f t="shared" si="45"/>
        <v>0.07834336028435447</v>
      </c>
      <c r="Z31" s="23">
        <f t="shared" si="46"/>
        <v>99</v>
      </c>
      <c r="AA31" s="23">
        <f t="shared" si="47"/>
        <v>0</v>
      </c>
      <c r="AB31" s="10">
        <f t="shared" si="48"/>
        <v>0</v>
      </c>
      <c r="AC31" s="10">
        <f t="shared" si="49"/>
        <v>94.51125610283366</v>
      </c>
      <c r="AD31" s="67">
        <f t="shared" si="50"/>
        <v>0</v>
      </c>
      <c r="AE31" s="67">
        <f t="shared" si="51"/>
        <v>0</v>
      </c>
      <c r="AF31" s="67">
        <f t="shared" si="52"/>
        <v>0</v>
      </c>
      <c r="AG31" s="22">
        <f t="shared" si="53"/>
        <v>94</v>
      </c>
      <c r="AH31" s="70">
        <f t="shared" si="54"/>
        <v>30</v>
      </c>
      <c r="AI31" s="22">
        <f t="shared" si="55"/>
        <v>40.521970201160684</v>
      </c>
    </row>
    <row r="32" spans="4:35" ht="12.75">
      <c r="D32" s="11" t="s">
        <v>111</v>
      </c>
      <c r="E32" s="11">
        <v>47</v>
      </c>
      <c r="H32" s="58">
        <f t="shared" si="28"/>
        <v>0</v>
      </c>
      <c r="I32" s="23">
        <f t="shared" si="29"/>
        <v>500000</v>
      </c>
      <c r="J32" s="23">
        <f t="shared" si="30"/>
        <v>0</v>
      </c>
      <c r="K32" s="23">
        <f t="shared" si="31"/>
        <v>0</v>
      </c>
      <c r="L32" s="23">
        <f t="shared" si="32"/>
        <v>0</v>
      </c>
      <c r="M32" s="23">
        <f t="shared" si="33"/>
        <v>0.0067394967565870025</v>
      </c>
      <c r="N32" s="23">
        <f t="shared" si="34"/>
        <v>0</v>
      </c>
      <c r="O32" s="23">
        <f t="shared" si="35"/>
        <v>6378137</v>
      </c>
      <c r="P32" s="23">
        <f t="shared" si="36"/>
        <v>6335439.327202763</v>
      </c>
      <c r="Q32" s="23">
        <f t="shared" si="37"/>
        <v>0.07842416681109433</v>
      </c>
      <c r="R32" s="23">
        <f t="shared" si="38"/>
        <v>0</v>
      </c>
      <c r="S32" s="23">
        <f t="shared" si="39"/>
        <v>0.0030751749700071752</v>
      </c>
      <c r="T32" s="23">
        <f t="shared" si="40"/>
        <v>7.890920127136131E-06</v>
      </c>
      <c r="U32" s="23">
        <f t="shared" si="41"/>
        <v>1.981059201934672E-08</v>
      </c>
      <c r="V32" s="23">
        <f t="shared" si="42"/>
        <v>0.07842416681109433</v>
      </c>
      <c r="W32" s="23">
        <f t="shared" si="43"/>
        <v>8.093112866987144E-05</v>
      </c>
      <c r="X32" s="23">
        <f t="shared" si="44"/>
        <v>1.2460193000466792E-07</v>
      </c>
      <c r="Y32" s="23">
        <f t="shared" si="45"/>
        <v>0.07834336028435447</v>
      </c>
      <c r="Z32" s="23">
        <f t="shared" si="46"/>
        <v>99</v>
      </c>
      <c r="AA32" s="23">
        <f t="shared" si="47"/>
        <v>0</v>
      </c>
      <c r="AB32" s="10">
        <f t="shared" si="48"/>
        <v>0</v>
      </c>
      <c r="AC32" s="10">
        <f t="shared" si="49"/>
        <v>94.51125610283366</v>
      </c>
      <c r="AD32" s="67">
        <f t="shared" si="50"/>
        <v>0</v>
      </c>
      <c r="AE32" s="67">
        <f t="shared" si="51"/>
        <v>0</v>
      </c>
      <c r="AF32" s="67">
        <f t="shared" si="52"/>
        <v>0</v>
      </c>
      <c r="AG32" s="22">
        <f t="shared" si="53"/>
        <v>94</v>
      </c>
      <c r="AH32" s="70">
        <f t="shared" si="54"/>
        <v>30</v>
      </c>
      <c r="AI32" s="22">
        <f t="shared" si="55"/>
        <v>40.521970201160684</v>
      </c>
    </row>
    <row r="33" spans="4:35" ht="12.75">
      <c r="D33" s="11" t="s">
        <v>111</v>
      </c>
      <c r="E33" s="11">
        <v>47</v>
      </c>
      <c r="H33" s="58">
        <f t="shared" si="28"/>
        <v>0</v>
      </c>
      <c r="I33" s="23">
        <f t="shared" si="29"/>
        <v>500000</v>
      </c>
      <c r="J33" s="23">
        <f t="shared" si="30"/>
        <v>0</v>
      </c>
      <c r="K33" s="23">
        <f t="shared" si="31"/>
        <v>0</v>
      </c>
      <c r="L33" s="23">
        <f t="shared" si="32"/>
        <v>0</v>
      </c>
      <c r="M33" s="23">
        <f t="shared" si="33"/>
        <v>0.0067394967565870025</v>
      </c>
      <c r="N33" s="23">
        <f t="shared" si="34"/>
        <v>0</v>
      </c>
      <c r="O33" s="23">
        <f t="shared" si="35"/>
        <v>6378137</v>
      </c>
      <c r="P33" s="23">
        <f t="shared" si="36"/>
        <v>6335439.327202763</v>
      </c>
      <c r="Q33" s="23">
        <f t="shared" si="37"/>
        <v>0.07842416681109433</v>
      </c>
      <c r="R33" s="23">
        <f t="shared" si="38"/>
        <v>0</v>
      </c>
      <c r="S33" s="23">
        <f t="shared" si="39"/>
        <v>0.0030751749700071752</v>
      </c>
      <c r="T33" s="23">
        <f t="shared" si="40"/>
        <v>7.890920127136131E-06</v>
      </c>
      <c r="U33" s="23">
        <f t="shared" si="41"/>
        <v>1.981059201934672E-08</v>
      </c>
      <c r="V33" s="23">
        <f t="shared" si="42"/>
        <v>0.07842416681109433</v>
      </c>
      <c r="W33" s="23">
        <f t="shared" si="43"/>
        <v>8.093112866987144E-05</v>
      </c>
      <c r="X33" s="23">
        <f t="shared" si="44"/>
        <v>1.2460193000466792E-07</v>
      </c>
      <c r="Y33" s="23">
        <f t="shared" si="45"/>
        <v>0.07834336028435447</v>
      </c>
      <c r="Z33" s="23">
        <f t="shared" si="46"/>
        <v>99</v>
      </c>
      <c r="AA33" s="23">
        <f t="shared" si="47"/>
        <v>0</v>
      </c>
      <c r="AB33" s="10">
        <f t="shared" si="48"/>
        <v>0</v>
      </c>
      <c r="AC33" s="10">
        <f t="shared" si="49"/>
        <v>94.51125610283366</v>
      </c>
      <c r="AD33" s="67">
        <f t="shared" si="50"/>
        <v>0</v>
      </c>
      <c r="AE33" s="67">
        <f t="shared" si="51"/>
        <v>0</v>
      </c>
      <c r="AF33" s="67">
        <f t="shared" si="52"/>
        <v>0</v>
      </c>
      <c r="AG33" s="22">
        <f t="shared" si="53"/>
        <v>94</v>
      </c>
      <c r="AH33" s="70">
        <f t="shared" si="54"/>
        <v>30</v>
      </c>
      <c r="AI33" s="22">
        <f t="shared" si="55"/>
        <v>40.521970201160684</v>
      </c>
    </row>
    <row r="34" spans="4:35" ht="12.75">
      <c r="D34" s="11" t="s">
        <v>111</v>
      </c>
      <c r="E34" s="11">
        <v>47</v>
      </c>
      <c r="H34" s="58">
        <f t="shared" si="28"/>
        <v>0</v>
      </c>
      <c r="I34" s="23">
        <f t="shared" si="29"/>
        <v>500000</v>
      </c>
      <c r="J34" s="23">
        <f t="shared" si="30"/>
        <v>0</v>
      </c>
      <c r="K34" s="23">
        <f t="shared" si="31"/>
        <v>0</v>
      </c>
      <c r="L34" s="23">
        <f t="shared" si="32"/>
        <v>0</v>
      </c>
      <c r="M34" s="23">
        <f t="shared" si="33"/>
        <v>0.0067394967565870025</v>
      </c>
      <c r="N34" s="23">
        <f t="shared" si="34"/>
        <v>0</v>
      </c>
      <c r="O34" s="23">
        <f t="shared" si="35"/>
        <v>6378137</v>
      </c>
      <c r="P34" s="23">
        <f t="shared" si="36"/>
        <v>6335439.327202763</v>
      </c>
      <c r="Q34" s="23">
        <f t="shared" si="37"/>
        <v>0.07842416681109433</v>
      </c>
      <c r="R34" s="23">
        <f t="shared" si="38"/>
        <v>0</v>
      </c>
      <c r="S34" s="23">
        <f t="shared" si="39"/>
        <v>0.0030751749700071752</v>
      </c>
      <c r="T34" s="23">
        <f t="shared" si="40"/>
        <v>7.890920127136131E-06</v>
      </c>
      <c r="U34" s="23">
        <f t="shared" si="41"/>
        <v>1.981059201934672E-08</v>
      </c>
      <c r="V34" s="23">
        <f t="shared" si="42"/>
        <v>0.07842416681109433</v>
      </c>
      <c r="W34" s="23">
        <f t="shared" si="43"/>
        <v>8.093112866987144E-05</v>
      </c>
      <c r="X34" s="23">
        <f t="shared" si="44"/>
        <v>1.2460193000466792E-07</v>
      </c>
      <c r="Y34" s="23">
        <f t="shared" si="45"/>
        <v>0.07834336028435447</v>
      </c>
      <c r="Z34" s="23">
        <f t="shared" si="46"/>
        <v>99</v>
      </c>
      <c r="AA34" s="23">
        <f t="shared" si="47"/>
        <v>0</v>
      </c>
      <c r="AB34" s="10">
        <f t="shared" si="48"/>
        <v>0</v>
      </c>
      <c r="AC34" s="10">
        <f t="shared" si="49"/>
        <v>94.51125610283366</v>
      </c>
      <c r="AD34" s="67">
        <f t="shared" si="50"/>
        <v>0</v>
      </c>
      <c r="AE34" s="67">
        <f t="shared" si="51"/>
        <v>0</v>
      </c>
      <c r="AF34" s="67">
        <f t="shared" si="52"/>
        <v>0</v>
      </c>
      <c r="AG34" s="22">
        <f t="shared" si="53"/>
        <v>94</v>
      </c>
      <c r="AH34" s="70">
        <f t="shared" si="54"/>
        <v>30</v>
      </c>
      <c r="AI34" s="22">
        <f t="shared" si="55"/>
        <v>40.521970201160684</v>
      </c>
    </row>
    <row r="35" spans="4:35" ht="12.75">
      <c r="D35" s="11" t="s">
        <v>111</v>
      </c>
      <c r="E35" s="11">
        <v>47</v>
      </c>
      <c r="H35" s="58">
        <f t="shared" si="28"/>
        <v>0</v>
      </c>
      <c r="I35" s="23">
        <f t="shared" si="29"/>
        <v>500000</v>
      </c>
      <c r="J35" s="23">
        <f t="shared" si="30"/>
        <v>0</v>
      </c>
      <c r="K35" s="23">
        <f t="shared" si="31"/>
        <v>0</v>
      </c>
      <c r="L35" s="23">
        <f t="shared" si="32"/>
        <v>0</v>
      </c>
      <c r="M35" s="23">
        <f t="shared" si="33"/>
        <v>0.0067394967565870025</v>
      </c>
      <c r="N35" s="23">
        <f t="shared" si="34"/>
        <v>0</v>
      </c>
      <c r="O35" s="23">
        <f t="shared" si="35"/>
        <v>6378137</v>
      </c>
      <c r="P35" s="23">
        <f t="shared" si="36"/>
        <v>6335439.327202763</v>
      </c>
      <c r="Q35" s="23">
        <f t="shared" si="37"/>
        <v>0.07842416681109433</v>
      </c>
      <c r="R35" s="23">
        <f t="shared" si="38"/>
        <v>0</v>
      </c>
      <c r="S35" s="23">
        <f t="shared" si="39"/>
        <v>0.0030751749700071752</v>
      </c>
      <c r="T35" s="23">
        <f t="shared" si="40"/>
        <v>7.890920127136131E-06</v>
      </c>
      <c r="U35" s="23">
        <f t="shared" si="41"/>
        <v>1.981059201934672E-08</v>
      </c>
      <c r="V35" s="23">
        <f t="shared" si="42"/>
        <v>0.07842416681109433</v>
      </c>
      <c r="W35" s="23">
        <f t="shared" si="43"/>
        <v>8.093112866987144E-05</v>
      </c>
      <c r="X35" s="23">
        <f t="shared" si="44"/>
        <v>1.2460193000466792E-07</v>
      </c>
      <c r="Y35" s="23">
        <f t="shared" si="45"/>
        <v>0.07834336028435447</v>
      </c>
      <c r="Z35" s="23">
        <f t="shared" si="46"/>
        <v>99</v>
      </c>
      <c r="AA35" s="23">
        <f t="shared" si="47"/>
        <v>0</v>
      </c>
      <c r="AB35" s="10">
        <f t="shared" si="48"/>
        <v>0</v>
      </c>
      <c r="AC35" s="10">
        <f t="shared" si="49"/>
        <v>94.51125610283366</v>
      </c>
      <c r="AD35" s="67">
        <f t="shared" si="50"/>
        <v>0</v>
      </c>
      <c r="AE35" s="67">
        <f t="shared" si="51"/>
        <v>0</v>
      </c>
      <c r="AF35" s="67">
        <f t="shared" si="52"/>
        <v>0</v>
      </c>
      <c r="AG35" s="22">
        <f t="shared" si="53"/>
        <v>94</v>
      </c>
      <c r="AH35" s="70">
        <f t="shared" si="54"/>
        <v>30</v>
      </c>
      <c r="AI35" s="22">
        <f t="shared" si="55"/>
        <v>40.521970201160684</v>
      </c>
    </row>
    <row r="36" spans="4:35" ht="12.75">
      <c r="D36" s="11" t="s">
        <v>111</v>
      </c>
      <c r="E36" s="11">
        <v>47</v>
      </c>
      <c r="H36" s="58">
        <f t="shared" si="28"/>
        <v>0</v>
      </c>
      <c r="I36" s="23">
        <f t="shared" si="29"/>
        <v>500000</v>
      </c>
      <c r="J36" s="23">
        <f t="shared" si="30"/>
        <v>0</v>
      </c>
      <c r="K36" s="23">
        <f t="shared" si="31"/>
        <v>0</v>
      </c>
      <c r="L36" s="23">
        <f t="shared" si="32"/>
        <v>0</v>
      </c>
      <c r="M36" s="23">
        <f t="shared" si="33"/>
        <v>0.0067394967565870025</v>
      </c>
      <c r="N36" s="23">
        <f t="shared" si="34"/>
        <v>0</v>
      </c>
      <c r="O36" s="23">
        <f t="shared" si="35"/>
        <v>6378137</v>
      </c>
      <c r="P36" s="23">
        <f t="shared" si="36"/>
        <v>6335439.327202763</v>
      </c>
      <c r="Q36" s="23">
        <f t="shared" si="37"/>
        <v>0.07842416681109433</v>
      </c>
      <c r="R36" s="23">
        <f t="shared" si="38"/>
        <v>0</v>
      </c>
      <c r="S36" s="23">
        <f t="shared" si="39"/>
        <v>0.0030751749700071752</v>
      </c>
      <c r="T36" s="23">
        <f t="shared" si="40"/>
        <v>7.890920127136131E-06</v>
      </c>
      <c r="U36" s="23">
        <f t="shared" si="41"/>
        <v>1.981059201934672E-08</v>
      </c>
      <c r="V36" s="23">
        <f t="shared" si="42"/>
        <v>0.07842416681109433</v>
      </c>
      <c r="W36" s="23">
        <f t="shared" si="43"/>
        <v>8.093112866987144E-05</v>
      </c>
      <c r="X36" s="23">
        <f t="shared" si="44"/>
        <v>1.2460193000466792E-07</v>
      </c>
      <c r="Y36" s="23">
        <f t="shared" si="45"/>
        <v>0.07834336028435447</v>
      </c>
      <c r="Z36" s="23">
        <f t="shared" si="46"/>
        <v>99</v>
      </c>
      <c r="AA36" s="23">
        <f t="shared" si="47"/>
        <v>0</v>
      </c>
      <c r="AB36" s="10">
        <f t="shared" si="48"/>
        <v>0</v>
      </c>
      <c r="AC36" s="10">
        <f t="shared" si="49"/>
        <v>94.51125610283366</v>
      </c>
      <c r="AD36" s="67">
        <f t="shared" si="50"/>
        <v>0</v>
      </c>
      <c r="AE36" s="67">
        <f t="shared" si="51"/>
        <v>0</v>
      </c>
      <c r="AF36" s="67">
        <f t="shared" si="52"/>
        <v>0</v>
      </c>
      <c r="AG36" s="22">
        <f t="shared" si="53"/>
        <v>94</v>
      </c>
      <c r="AH36" s="70">
        <f t="shared" si="54"/>
        <v>30</v>
      </c>
      <c r="AI36" s="22">
        <f t="shared" si="55"/>
        <v>40.521970201160684</v>
      </c>
    </row>
    <row r="37" spans="4:35" ht="12.75">
      <c r="D37" s="11" t="s">
        <v>111</v>
      </c>
      <c r="E37" s="11">
        <v>47</v>
      </c>
      <c r="H37" s="58">
        <f t="shared" si="28"/>
        <v>0</v>
      </c>
      <c r="I37" s="23">
        <f t="shared" si="29"/>
        <v>500000</v>
      </c>
      <c r="J37" s="23">
        <f t="shared" si="30"/>
        <v>0</v>
      </c>
      <c r="K37" s="23">
        <f t="shared" si="31"/>
        <v>0</v>
      </c>
      <c r="L37" s="23">
        <f t="shared" si="32"/>
        <v>0</v>
      </c>
      <c r="M37" s="23">
        <f t="shared" si="33"/>
        <v>0.0067394967565870025</v>
      </c>
      <c r="N37" s="23">
        <f t="shared" si="34"/>
        <v>0</v>
      </c>
      <c r="O37" s="23">
        <f t="shared" si="35"/>
        <v>6378137</v>
      </c>
      <c r="P37" s="23">
        <f t="shared" si="36"/>
        <v>6335439.327202763</v>
      </c>
      <c r="Q37" s="23">
        <f t="shared" si="37"/>
        <v>0.07842416681109433</v>
      </c>
      <c r="R37" s="23">
        <f t="shared" si="38"/>
        <v>0</v>
      </c>
      <c r="S37" s="23">
        <f t="shared" si="39"/>
        <v>0.0030751749700071752</v>
      </c>
      <c r="T37" s="23">
        <f t="shared" si="40"/>
        <v>7.890920127136131E-06</v>
      </c>
      <c r="U37" s="23">
        <f t="shared" si="41"/>
        <v>1.981059201934672E-08</v>
      </c>
      <c r="V37" s="23">
        <f t="shared" si="42"/>
        <v>0.07842416681109433</v>
      </c>
      <c r="W37" s="23">
        <f t="shared" si="43"/>
        <v>8.093112866987144E-05</v>
      </c>
      <c r="X37" s="23">
        <f t="shared" si="44"/>
        <v>1.2460193000466792E-07</v>
      </c>
      <c r="Y37" s="23">
        <f t="shared" si="45"/>
        <v>0.07834336028435447</v>
      </c>
      <c r="Z37" s="23">
        <f t="shared" si="46"/>
        <v>99</v>
      </c>
      <c r="AA37" s="23">
        <f t="shared" si="47"/>
        <v>0</v>
      </c>
      <c r="AB37" s="10">
        <f t="shared" si="48"/>
        <v>0</v>
      </c>
      <c r="AC37" s="10">
        <f t="shared" si="49"/>
        <v>94.51125610283366</v>
      </c>
      <c r="AD37" s="67">
        <f t="shared" si="50"/>
        <v>0</v>
      </c>
      <c r="AE37" s="67">
        <f t="shared" si="51"/>
        <v>0</v>
      </c>
      <c r="AF37" s="67">
        <f t="shared" si="52"/>
        <v>0</v>
      </c>
      <c r="AG37" s="22">
        <f t="shared" si="53"/>
        <v>94</v>
      </c>
      <c r="AH37" s="70">
        <f t="shared" si="54"/>
        <v>30</v>
      </c>
      <c r="AI37" s="22">
        <f t="shared" si="55"/>
        <v>40.521970201160684</v>
      </c>
    </row>
    <row r="38" spans="4:5" ht="12.75">
      <c r="D38" s="11" t="s">
        <v>111</v>
      </c>
      <c r="E38" s="11">
        <v>47</v>
      </c>
    </row>
    <row r="39" spans="4:5" ht="12.75">
      <c r="D39" s="11" t="s">
        <v>111</v>
      </c>
      <c r="E39" s="11">
        <v>47</v>
      </c>
    </row>
    <row r="40" spans="4:5" ht="12.75">
      <c r="D40" s="11" t="s">
        <v>111</v>
      </c>
      <c r="E40" s="11">
        <v>47</v>
      </c>
    </row>
  </sheetData>
  <sheetProtection/>
  <hyperlinks>
    <hyperlink ref="A2" r:id="rId1" display="How to Use This Spreadsheet"/>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AG79"/>
  <sheetViews>
    <sheetView zoomScalePageLayoutView="0" workbookViewId="0" topLeftCell="C1">
      <selection activeCell="M8" sqref="M8"/>
    </sheetView>
  </sheetViews>
  <sheetFormatPr defaultColWidth="9.140625" defaultRowHeight="12.75"/>
  <cols>
    <col min="1" max="1" width="16.8515625" style="0" customWidth="1"/>
    <col min="4" max="4" width="3.57421875" style="0" hidden="1" customWidth="1"/>
    <col min="5" max="5" width="3.28125" style="0" hidden="1" customWidth="1"/>
    <col min="6" max="6" width="9.140625" style="0" hidden="1" customWidth="1"/>
    <col min="7" max="8" width="3.28125" style="0" hidden="1" customWidth="1"/>
    <col min="9" max="11" width="9.140625" style="0" hidden="1" customWidth="1"/>
    <col min="12" max="12" width="11.28125" style="11" bestFit="1" customWidth="1"/>
    <col min="13" max="13" width="11.7109375" style="11" bestFit="1" customWidth="1"/>
    <col min="14" max="14" width="3.7109375" style="23" customWidth="1"/>
    <col min="15" max="30" width="3.28125" style="23" customWidth="1"/>
    <col min="31" max="32" width="9.140625" style="10" customWidth="1"/>
    <col min="33" max="33" width="3.00390625" style="10" customWidth="1"/>
  </cols>
  <sheetData>
    <row r="1" spans="1:33" ht="164.25">
      <c r="A1" s="65" t="s">
        <v>191</v>
      </c>
      <c r="D1" s="54" t="s">
        <v>192</v>
      </c>
      <c r="E1" s="54" t="s">
        <v>193</v>
      </c>
      <c r="F1" s="54" t="s">
        <v>194</v>
      </c>
      <c r="G1" s="54" t="s">
        <v>195</v>
      </c>
      <c r="H1" s="54" t="s">
        <v>196</v>
      </c>
      <c r="I1" s="54" t="s">
        <v>197</v>
      </c>
      <c r="J1" s="54" t="s">
        <v>198</v>
      </c>
      <c r="K1" s="54" t="s">
        <v>199</v>
      </c>
      <c r="L1" s="11" t="s">
        <v>177</v>
      </c>
      <c r="M1" s="11" t="s">
        <v>178</v>
      </c>
      <c r="N1" s="60" t="s">
        <v>149</v>
      </c>
      <c r="O1" s="60" t="s">
        <v>182</v>
      </c>
      <c r="P1" s="60" t="s">
        <v>183</v>
      </c>
      <c r="Q1" s="60" t="s">
        <v>179</v>
      </c>
      <c r="R1" s="60" t="s">
        <v>180</v>
      </c>
      <c r="S1" s="61" t="s">
        <v>175</v>
      </c>
      <c r="T1" s="61" t="s">
        <v>176</v>
      </c>
      <c r="U1" s="62" t="s">
        <v>49</v>
      </c>
      <c r="V1" s="61" t="s">
        <v>174</v>
      </c>
      <c r="W1" s="63" t="s">
        <v>51</v>
      </c>
      <c r="X1" s="60" t="s">
        <v>37</v>
      </c>
      <c r="Y1" s="60" t="s">
        <v>38</v>
      </c>
      <c r="Z1" s="60" t="s">
        <v>39</v>
      </c>
      <c r="AA1" s="60" t="s">
        <v>40</v>
      </c>
      <c r="AB1" s="60" t="s">
        <v>41</v>
      </c>
      <c r="AC1" s="60" t="s">
        <v>42</v>
      </c>
      <c r="AD1" s="60" t="s">
        <v>184</v>
      </c>
      <c r="AE1" s="64" t="s">
        <v>56</v>
      </c>
      <c r="AF1" s="10" t="s">
        <v>26</v>
      </c>
      <c r="AG1" s="66" t="s">
        <v>149</v>
      </c>
    </row>
    <row r="2" spans="1:33" ht="12.75">
      <c r="A2" t="s">
        <v>91</v>
      </c>
      <c r="B2" t="str">
        <f>'Main Page'!E3</f>
        <v>WGS 84</v>
      </c>
      <c r="D2">
        <v>-79</v>
      </c>
      <c r="E2">
        <v>60</v>
      </c>
      <c r="G2">
        <v>-179</v>
      </c>
      <c r="H2">
        <v>60</v>
      </c>
      <c r="J2">
        <f>(ABS(D2)+E2/60+F2/3600)*SIGN(D2)</f>
        <v>-80</v>
      </c>
      <c r="K2">
        <f>(ABS(G2)+H2/60+I2/3600)*SIGN(G2)</f>
        <v>-180</v>
      </c>
      <c r="L2" s="11">
        <v>60</v>
      </c>
      <c r="M2" s="11">
        <v>-120</v>
      </c>
      <c r="N2" s="23">
        <f>31+INT(M2/6)</f>
        <v>11</v>
      </c>
      <c r="O2" s="23">
        <f>6*N2-183</f>
        <v>-117</v>
      </c>
      <c r="P2" s="23">
        <f>(M2-O2)*3600/10000</f>
        <v>-1.08</v>
      </c>
      <c r="Q2" s="23">
        <f>L2*PI()/180</f>
        <v>1.0471975511965976</v>
      </c>
      <c r="R2" s="23">
        <f>M2*PI()/180</f>
        <v>-2.0943951023931953</v>
      </c>
      <c r="S2" s="23">
        <f aca="true" t="shared" si="0" ref="S2:S7">a*(1-e*e)/((1-(e*SIN(Q2))^2)^(3/2))</f>
        <v>6383453.8572402485</v>
      </c>
      <c r="T2" s="23">
        <f aca="true" t="shared" si="1" ref="T2:T7">a/((1-(e*SIN(Q2))^2)^(1/2))</f>
        <v>6394209.173881922</v>
      </c>
      <c r="V2" s="23">
        <f aca="true" t="shared" si="2" ref="V2:V7">A0*Q2-B0*SIN(2*Q2)+C0*SIN(4*Q2)-D0*SIN(6*Q2)+E0*SIN(8*Q2)</f>
        <v>6654072.88822172</v>
      </c>
      <c r="X2" s="23">
        <f aca="true" t="shared" si="3" ref="X2:X7">V2*k0</f>
        <v>6651411.259066432</v>
      </c>
      <c r="Y2" s="23">
        <f aca="true" t="shared" si="4" ref="Y2:Y14">T2*SIN(Q2)*COS(Q2)*Sin1^2*k0*(100000000)/2</f>
        <v>3252.6209932465554</v>
      </c>
      <c r="Z2" s="23">
        <f aca="true" t="shared" si="5" ref="Z2:Z14">((Sin1^4*T2*SIN(Q2)*COS(Q2)^3)/24)*(5-TAN(Q2)^2+9*e1sq*COS(Q2)^2+4*e1sq^2*COS(Q2)^4)*k0*(10000000000000000)</f>
        <v>0.3209628530037408</v>
      </c>
      <c r="AA2" s="23">
        <f aca="true" t="shared" si="6" ref="AA2:AA14">T2*COS(Q2)*Sin1*k0*10000</f>
        <v>154938.00436695557</v>
      </c>
      <c r="AB2" s="23">
        <f aca="true" t="shared" si="7" ref="AB2:AB14">(Sin1*COS(Q2))^3*(T2/6)*(1-TAN(Q2)^2+e1sq*COS(Q2)^2)*k0*(1000000000000)</f>
        <v>-30.32218027865441</v>
      </c>
      <c r="AC2" s="23">
        <f aca="true" t="shared" si="8" ref="AC2:AC14">((P2*Sin1)^6*T2*SIN(Q2)*COS(Q2)^5/720)*(61-58*TAN(Q2)^2+TAN(Q2)^4+270*e1sq*COS(Q2)^2-330*e1sq*SIN(Q2)^2)*k0*(1E+24)</f>
        <v>-0.000520862190719255</v>
      </c>
      <c r="AD2" s="23">
        <f>(X2+Y2*P2*P2+Z2*P2^4)</f>
        <v>6655205.552859372</v>
      </c>
      <c r="AE2" s="10">
        <f>IF(AD2&lt;0,10000000+AD2,AD2)</f>
        <v>6655205.552859372</v>
      </c>
      <c r="AF2" s="10">
        <f>500000+(AA2*P2+AB2*P2^3)</f>
        <v>332705.1524980512</v>
      </c>
      <c r="AG2" s="10">
        <f>N2</f>
        <v>11</v>
      </c>
    </row>
    <row r="3" spans="10:33" ht="12.75">
      <c r="J3">
        <f aca="true" t="shared" si="9" ref="J3:J14">D3+E3/60+F3/3600</f>
        <v>0</v>
      </c>
      <c r="K3">
        <f aca="true" t="shared" si="10" ref="K3:K14">G3+H3/60+I3/3600</f>
        <v>0</v>
      </c>
      <c r="L3" s="11">
        <v>30</v>
      </c>
      <c r="M3" s="11">
        <v>-88</v>
      </c>
      <c r="N3" s="23">
        <f aca="true" t="shared" si="11" ref="N3:N14">31+INT(M3/6)</f>
        <v>16</v>
      </c>
      <c r="O3" s="23">
        <f aca="true" t="shared" si="12" ref="O3:O14">6*N3-183</f>
        <v>-87</v>
      </c>
      <c r="P3" s="23">
        <f aca="true" t="shared" si="13" ref="P3:P14">(M3-O3)*3600/10000</f>
        <v>-0.36</v>
      </c>
      <c r="Q3" s="23">
        <f aca="true" t="shared" si="14" ref="Q3:Q14">L3*PI()/180</f>
        <v>0.5235987755982988</v>
      </c>
      <c r="R3" s="23">
        <f aca="true" t="shared" si="15" ref="R3:R14">M3*PI()/180</f>
        <v>-1.53588974175501</v>
      </c>
      <c r="S3" s="23">
        <f t="shared" si="0"/>
        <v>6351377.103658916</v>
      </c>
      <c r="T3" s="23">
        <f t="shared" si="1"/>
        <v>6383480.917701394</v>
      </c>
      <c r="V3" s="23">
        <f t="shared" si="2"/>
        <v>3320113.466195862</v>
      </c>
      <c r="X3" s="23">
        <f t="shared" si="3"/>
        <v>3318785.4208093835</v>
      </c>
      <c r="Y3" s="23">
        <f t="shared" si="4"/>
        <v>3247.1637192780636</v>
      </c>
      <c r="Z3" s="23">
        <f t="shared" si="5"/>
        <v>2.2478287659408647</v>
      </c>
      <c r="AA3" s="23">
        <f t="shared" si="6"/>
        <v>267910.2381637963</v>
      </c>
      <c r="AB3" s="23">
        <f t="shared" si="7"/>
        <v>52.873513411073844</v>
      </c>
      <c r="AC3" s="23">
        <f t="shared" si="8"/>
        <v>2.598428732980539E-06</v>
      </c>
      <c r="AD3" s="23">
        <f aca="true" t="shared" si="16" ref="AD3:AD14">(X3+Y3*P3*P3+Z3*P3^4)</f>
        <v>3319206.2909822934</v>
      </c>
      <c r="AE3" s="10">
        <f aca="true" t="shared" si="17" ref="AE3:AE14">IF(AD3&lt;0,10000000+AD3,AD3)</f>
        <v>3319206.2909822934</v>
      </c>
      <c r="AF3" s="10">
        <f aca="true" t="shared" si="18" ref="AF3:AF14">500000+(AA3*P3+AB3*P3^3)</f>
        <v>403549.8473943916</v>
      </c>
      <c r="AG3" s="10">
        <f aca="true" t="shared" si="19" ref="AG3:AG14">N3</f>
        <v>16</v>
      </c>
    </row>
    <row r="4" spans="1:33" ht="12.75">
      <c r="A4" s="3" t="s">
        <v>50</v>
      </c>
      <c r="B4" s="3" t="s">
        <v>0</v>
      </c>
      <c r="C4" s="3" t="s">
        <v>1</v>
      </c>
      <c r="D4" s="55"/>
      <c r="E4" s="55"/>
      <c r="F4" s="55"/>
      <c r="G4" s="55"/>
      <c r="H4" s="55"/>
      <c r="I4" s="55"/>
      <c r="J4">
        <f t="shared" si="9"/>
        <v>0</v>
      </c>
      <c r="K4">
        <f t="shared" si="10"/>
        <v>0</v>
      </c>
      <c r="L4" s="11">
        <v>17</v>
      </c>
      <c r="M4" s="11">
        <v>-22</v>
      </c>
      <c r="N4" s="23">
        <f t="shared" si="11"/>
        <v>27</v>
      </c>
      <c r="O4" s="23">
        <f t="shared" si="12"/>
        <v>-21</v>
      </c>
      <c r="P4" s="23">
        <f t="shared" si="13"/>
        <v>-0.36</v>
      </c>
      <c r="Q4" s="23">
        <f t="shared" si="14"/>
        <v>0.29670597283903605</v>
      </c>
      <c r="R4" s="23">
        <f t="shared" si="15"/>
        <v>-0.3839724354387525</v>
      </c>
      <c r="S4" s="23">
        <f t="shared" si="0"/>
        <v>6340881.342843795</v>
      </c>
      <c r="T4" s="23">
        <f t="shared" si="1"/>
        <v>6379962.708046777</v>
      </c>
      <c r="V4" s="23">
        <f t="shared" si="2"/>
        <v>1880307.2029595315</v>
      </c>
      <c r="X4" s="23">
        <f t="shared" si="3"/>
        <v>1879555.0800783478</v>
      </c>
      <c r="Y4" s="23">
        <f t="shared" si="4"/>
        <v>2095.539161070179</v>
      </c>
      <c r="Z4" s="23">
        <f t="shared" si="5"/>
        <v>1.8626313120914466</v>
      </c>
      <c r="AA4" s="23">
        <f t="shared" si="6"/>
        <v>295675.65674745664</v>
      </c>
      <c r="AB4" s="23">
        <f t="shared" si="7"/>
        <v>96.6787437175754</v>
      </c>
      <c r="AC4" s="23">
        <f t="shared" si="8"/>
        <v>3.3406847999261887E-06</v>
      </c>
      <c r="AD4" s="23">
        <f t="shared" si="16"/>
        <v>1879826.693238676</v>
      </c>
      <c r="AE4" s="10">
        <f t="shared" si="17"/>
        <v>1879826.693238676</v>
      </c>
      <c r="AF4" s="10">
        <f t="shared" si="18"/>
        <v>393552.2529274487</v>
      </c>
      <c r="AG4" s="10">
        <f t="shared" si="19"/>
        <v>27</v>
      </c>
    </row>
    <row r="5" spans="1:33" ht="17.25">
      <c r="A5" s="2" t="s">
        <v>7</v>
      </c>
      <c r="B5" s="2" t="s">
        <v>8</v>
      </c>
      <c r="C5" s="2"/>
      <c r="D5" s="18"/>
      <c r="E5" s="18"/>
      <c r="F5" s="18"/>
      <c r="G5" s="18"/>
      <c r="H5" s="18"/>
      <c r="I5" s="18"/>
      <c r="J5">
        <f t="shared" si="9"/>
        <v>0</v>
      </c>
      <c r="K5">
        <f t="shared" si="10"/>
        <v>0</v>
      </c>
      <c r="L5" s="74">
        <v>6.8229</v>
      </c>
      <c r="M5" s="74">
        <v>101.21612</v>
      </c>
      <c r="N5" s="23">
        <f t="shared" si="11"/>
        <v>47</v>
      </c>
      <c r="O5" s="23">
        <f t="shared" si="12"/>
        <v>99</v>
      </c>
      <c r="P5" s="23">
        <f t="shared" si="13"/>
        <v>0.7978032000000013</v>
      </c>
      <c r="Q5" s="23">
        <f t="shared" si="14"/>
        <v>0.1190820695343211</v>
      </c>
      <c r="R5" s="23">
        <f t="shared" si="15"/>
        <v>1.7665545500936832</v>
      </c>
      <c r="S5" s="23">
        <f t="shared" si="0"/>
        <v>6336337.311170942</v>
      </c>
      <c r="T5" s="23">
        <f t="shared" si="1"/>
        <v>6378438.331072985</v>
      </c>
      <c r="V5" s="23">
        <f t="shared" si="2"/>
        <v>754472.9558361917</v>
      </c>
      <c r="X5" s="23">
        <f t="shared" si="3"/>
        <v>754171.1666538572</v>
      </c>
      <c r="Y5" s="23">
        <f t="shared" si="4"/>
        <v>883.8798688833717</v>
      </c>
      <c r="Z5" s="23">
        <f t="shared" si="5"/>
        <v>0.8612051113878072</v>
      </c>
      <c r="AA5" s="23">
        <f t="shared" si="6"/>
        <v>306922.6257889541</v>
      </c>
      <c r="AB5" s="23">
        <f t="shared" si="7"/>
        <v>117.62775214360768</v>
      </c>
      <c r="AC5" s="23">
        <f t="shared" si="8"/>
        <v>0.0002105412030303005</v>
      </c>
      <c r="AD5" s="23">
        <f t="shared" si="16"/>
        <v>754734.0961947538</v>
      </c>
      <c r="AE5" s="10">
        <f t="shared" si="17"/>
        <v>754734.0961947538</v>
      </c>
      <c r="AF5" s="10">
        <f t="shared" si="18"/>
        <v>744923.5836401528</v>
      </c>
      <c r="AG5" s="10">
        <f t="shared" si="19"/>
        <v>47</v>
      </c>
    </row>
    <row r="6" spans="1:33" ht="17.25">
      <c r="A6" s="2" t="s">
        <v>10</v>
      </c>
      <c r="B6" s="2" t="s">
        <v>11</v>
      </c>
      <c r="C6" s="2"/>
      <c r="D6" s="18"/>
      <c r="E6" s="18"/>
      <c r="F6" s="18"/>
      <c r="G6" s="18"/>
      <c r="H6" s="18"/>
      <c r="I6" s="18"/>
      <c r="J6">
        <f t="shared" si="9"/>
        <v>0</v>
      </c>
      <c r="K6">
        <f t="shared" si="10"/>
        <v>0</v>
      </c>
      <c r="L6" s="75">
        <v>6.82759</v>
      </c>
      <c r="M6" s="75">
        <v>101.21318</v>
      </c>
      <c r="N6" s="23">
        <f t="shared" si="11"/>
        <v>47</v>
      </c>
      <c r="O6" s="23">
        <f t="shared" si="12"/>
        <v>99</v>
      </c>
      <c r="P6" s="23">
        <f t="shared" si="13"/>
        <v>0.7967447999999978</v>
      </c>
      <c r="Q6" s="23">
        <f t="shared" si="14"/>
        <v>0.11916392547623963</v>
      </c>
      <c r="R6" s="23">
        <f t="shared" si="15"/>
        <v>1.7665032374136742</v>
      </c>
      <c r="S6" s="23">
        <f t="shared" si="0"/>
        <v>6336338.540421805</v>
      </c>
      <c r="T6" s="23">
        <f t="shared" si="1"/>
        <v>6378438.743545782</v>
      </c>
      <c r="V6" s="23">
        <f t="shared" si="2"/>
        <v>754991.6227581138</v>
      </c>
      <c r="X6" s="23">
        <f t="shared" si="3"/>
        <v>754689.6261090105</v>
      </c>
      <c r="Y6" s="23">
        <f t="shared" si="4"/>
        <v>884.4759540357524</v>
      </c>
      <c r="Z6" s="23">
        <f t="shared" si="5"/>
        <v>0.8617654226714827</v>
      </c>
      <c r="AA6" s="23">
        <f t="shared" si="6"/>
        <v>306919.63863466645</v>
      </c>
      <c r="AB6" s="23">
        <f t="shared" si="7"/>
        <v>117.62193116711394</v>
      </c>
      <c r="AC6" s="23">
        <f t="shared" si="8"/>
        <v>0.00020899939231731435</v>
      </c>
      <c r="AD6" s="23">
        <f t="shared" si="16"/>
        <v>755251.440726988</v>
      </c>
      <c r="AE6" s="10">
        <f t="shared" si="17"/>
        <v>755251.440726988</v>
      </c>
      <c r="AF6" s="10">
        <f t="shared" si="18"/>
        <v>744596.1163808266</v>
      </c>
      <c r="AG6" s="10">
        <f t="shared" si="19"/>
        <v>47</v>
      </c>
    </row>
    <row r="7" spans="1:33" ht="17.25">
      <c r="A7" s="2" t="s">
        <v>13</v>
      </c>
      <c r="B7" s="2" t="s">
        <v>14</v>
      </c>
      <c r="C7" s="2"/>
      <c r="D7" s="18"/>
      <c r="E7" s="18"/>
      <c r="F7" s="18"/>
      <c r="G7" s="18"/>
      <c r="H7" s="18"/>
      <c r="I7" s="18"/>
      <c r="J7">
        <f t="shared" si="9"/>
        <v>0</v>
      </c>
      <c r="K7">
        <f t="shared" si="10"/>
        <v>0</v>
      </c>
      <c r="L7" s="75">
        <v>6.84032</v>
      </c>
      <c r="M7" s="75">
        <v>101.21282</v>
      </c>
      <c r="N7" s="23">
        <f t="shared" si="11"/>
        <v>47</v>
      </c>
      <c r="O7" s="23">
        <f t="shared" si="12"/>
        <v>99</v>
      </c>
      <c r="P7" s="23">
        <f t="shared" si="13"/>
        <v>0.7966151999999976</v>
      </c>
      <c r="Q7" s="23">
        <f t="shared" si="14"/>
        <v>0.11938610589001851</v>
      </c>
      <c r="R7" s="23">
        <f t="shared" si="15"/>
        <v>1.766496954228367</v>
      </c>
      <c r="S7" s="23">
        <f t="shared" si="0"/>
        <v>6336341.881138729</v>
      </c>
      <c r="T7" s="23">
        <f t="shared" si="1"/>
        <v>6378439.864516743</v>
      </c>
      <c r="V7" s="23">
        <f t="shared" si="2"/>
        <v>756399.4334823374</v>
      </c>
      <c r="X7" s="23">
        <f t="shared" si="3"/>
        <v>756096.8737089445</v>
      </c>
      <c r="Y7" s="23">
        <f t="shared" si="4"/>
        <v>886.0937804923248</v>
      </c>
      <c r="Z7" s="23">
        <f t="shared" si="5"/>
        <v>0.8632859428417825</v>
      </c>
      <c r="AA7" s="23">
        <f t="shared" si="6"/>
        <v>306911.5203436576</v>
      </c>
      <c r="AB7" s="23">
        <f t="shared" si="7"/>
        <v>117.60611199983862</v>
      </c>
      <c r="AC7" s="23">
        <f t="shared" si="8"/>
        <v>0.00020914384244671112</v>
      </c>
      <c r="AD7" s="23">
        <f t="shared" si="16"/>
        <v>756659.5327353927</v>
      </c>
      <c r="AE7" s="10">
        <f t="shared" si="17"/>
        <v>756659.5327353927</v>
      </c>
      <c r="AF7" s="10">
        <f t="shared" si="18"/>
        <v>744549.8354189224</v>
      </c>
      <c r="AG7" s="10">
        <f t="shared" si="19"/>
        <v>47</v>
      </c>
    </row>
    <row r="8" spans="1:33" ht="17.25">
      <c r="A8" s="2" t="s">
        <v>16</v>
      </c>
      <c r="B8" s="2" t="s">
        <v>17</v>
      </c>
      <c r="C8" s="2"/>
      <c r="D8" s="18"/>
      <c r="E8" s="18"/>
      <c r="F8" s="18"/>
      <c r="G8" s="18"/>
      <c r="H8" s="18"/>
      <c r="I8" s="18"/>
      <c r="J8">
        <f t="shared" si="9"/>
        <v>0</v>
      </c>
      <c r="K8">
        <f t="shared" si="10"/>
        <v>0</v>
      </c>
      <c r="L8" s="75"/>
      <c r="M8" s="75"/>
      <c r="N8" s="23">
        <f t="shared" si="11"/>
        <v>31</v>
      </c>
      <c r="O8" s="23">
        <f t="shared" si="12"/>
        <v>3</v>
      </c>
      <c r="P8" s="23">
        <f t="shared" si="13"/>
        <v>-1.08</v>
      </c>
      <c r="Q8" s="23">
        <f t="shared" si="14"/>
        <v>0</v>
      </c>
      <c r="R8" s="23">
        <f t="shared" si="15"/>
        <v>0</v>
      </c>
      <c r="S8" s="23">
        <f aca="true" t="shared" si="20" ref="S8:S14">a*(1-e*e)/((1-(e*SIN(Q8))^2)^(3/2))</f>
        <v>6335439.327202763</v>
      </c>
      <c r="T8" s="23">
        <f aca="true" t="shared" si="21" ref="T8:T14">a/((1-(e*SIN(Q8))^2)^(1/2))</f>
        <v>6378137</v>
      </c>
      <c r="V8" s="23">
        <f aca="true" t="shared" si="22" ref="V8:V14">A0*Q8-B0*SIN(2*Q8)+C0*SIN(4*Q8)-D0*SIN(6*Q8)+E0*SIN(8*Q8)</f>
        <v>0</v>
      </c>
      <c r="X8" s="23">
        <f aca="true" t="shared" si="23" ref="X8:X14">V8*k0</f>
        <v>0</v>
      </c>
      <c r="Y8" s="23">
        <f t="shared" si="4"/>
        <v>0</v>
      </c>
      <c r="Z8" s="23">
        <f t="shared" si="5"/>
        <v>0</v>
      </c>
      <c r="AA8" s="23">
        <f t="shared" si="6"/>
        <v>309097.11943598965</v>
      </c>
      <c r="AB8" s="23">
        <f t="shared" si="7"/>
        <v>121.90192067388125</v>
      </c>
      <c r="AC8" s="23">
        <f t="shared" si="8"/>
        <v>0</v>
      </c>
      <c r="AD8" s="23">
        <f t="shared" si="16"/>
        <v>0</v>
      </c>
      <c r="AE8" s="10">
        <f t="shared" si="17"/>
        <v>0</v>
      </c>
      <c r="AF8" s="10">
        <f t="shared" si="18"/>
        <v>166021.54969683522</v>
      </c>
      <c r="AG8" s="10">
        <f t="shared" si="19"/>
        <v>31</v>
      </c>
    </row>
    <row r="9" spans="1:33" ht="17.25">
      <c r="A9" s="2" t="s">
        <v>19</v>
      </c>
      <c r="B9" s="2" t="s">
        <v>20</v>
      </c>
      <c r="C9" s="2"/>
      <c r="D9" s="18"/>
      <c r="E9" s="18"/>
      <c r="F9" s="18"/>
      <c r="G9" s="18"/>
      <c r="H9" s="18"/>
      <c r="I9" s="18"/>
      <c r="J9">
        <f t="shared" si="9"/>
        <v>0</v>
      </c>
      <c r="K9">
        <f t="shared" si="10"/>
        <v>0</v>
      </c>
      <c r="L9" s="75"/>
      <c r="M9" s="75"/>
      <c r="N9" s="23">
        <f t="shared" si="11"/>
        <v>31</v>
      </c>
      <c r="O9" s="23">
        <f t="shared" si="12"/>
        <v>3</v>
      </c>
      <c r="P9" s="23">
        <f t="shared" si="13"/>
        <v>-1.08</v>
      </c>
      <c r="Q9" s="23">
        <f t="shared" si="14"/>
        <v>0</v>
      </c>
      <c r="R9" s="23">
        <f t="shared" si="15"/>
        <v>0</v>
      </c>
      <c r="S9" s="23">
        <f t="shared" si="20"/>
        <v>6335439.327202763</v>
      </c>
      <c r="T9" s="23">
        <f t="shared" si="21"/>
        <v>6378137</v>
      </c>
      <c r="V9" s="23">
        <f t="shared" si="22"/>
        <v>0</v>
      </c>
      <c r="X9" s="23">
        <f t="shared" si="23"/>
        <v>0</v>
      </c>
      <c r="Y9" s="23">
        <f t="shared" si="4"/>
        <v>0</v>
      </c>
      <c r="Z9" s="23">
        <f t="shared" si="5"/>
        <v>0</v>
      </c>
      <c r="AA9" s="23">
        <f t="shared" si="6"/>
        <v>309097.11943598965</v>
      </c>
      <c r="AB9" s="23">
        <f t="shared" si="7"/>
        <v>121.90192067388125</v>
      </c>
      <c r="AC9" s="23">
        <f t="shared" si="8"/>
        <v>0</v>
      </c>
      <c r="AD9" s="23">
        <f t="shared" si="16"/>
        <v>0</v>
      </c>
      <c r="AE9" s="10">
        <f t="shared" si="17"/>
        <v>0</v>
      </c>
      <c r="AF9" s="10">
        <f t="shared" si="18"/>
        <v>166021.54969683522</v>
      </c>
      <c r="AG9" s="10">
        <f t="shared" si="19"/>
        <v>31</v>
      </c>
    </row>
    <row r="10" spans="1:33" ht="12.75">
      <c r="A10" s="2"/>
      <c r="B10" s="2"/>
      <c r="C10" s="2"/>
      <c r="D10" s="18"/>
      <c r="E10" s="18"/>
      <c r="F10" s="18"/>
      <c r="G10" s="18"/>
      <c r="H10" s="18"/>
      <c r="I10" s="18"/>
      <c r="J10">
        <f t="shared" si="9"/>
        <v>0</v>
      </c>
      <c r="K10">
        <f t="shared" si="10"/>
        <v>0</v>
      </c>
      <c r="L10" s="76"/>
      <c r="M10" s="76"/>
      <c r="N10" s="23">
        <f t="shared" si="11"/>
        <v>31</v>
      </c>
      <c r="O10" s="23">
        <f t="shared" si="12"/>
        <v>3</v>
      </c>
      <c r="P10" s="23">
        <f t="shared" si="13"/>
        <v>-1.08</v>
      </c>
      <c r="Q10" s="23">
        <f t="shared" si="14"/>
        <v>0</v>
      </c>
      <c r="R10" s="23">
        <f t="shared" si="15"/>
        <v>0</v>
      </c>
      <c r="S10" s="23">
        <f t="shared" si="20"/>
        <v>6335439.327202763</v>
      </c>
      <c r="T10" s="23">
        <f t="shared" si="21"/>
        <v>6378137</v>
      </c>
      <c r="V10" s="23">
        <f t="shared" si="22"/>
        <v>0</v>
      </c>
      <c r="X10" s="23">
        <f t="shared" si="23"/>
        <v>0</v>
      </c>
      <c r="Y10" s="23">
        <f t="shared" si="4"/>
        <v>0</v>
      </c>
      <c r="Z10" s="23">
        <f t="shared" si="5"/>
        <v>0</v>
      </c>
      <c r="AA10" s="23">
        <f t="shared" si="6"/>
        <v>309097.11943598965</v>
      </c>
      <c r="AB10" s="23">
        <f t="shared" si="7"/>
        <v>121.90192067388125</v>
      </c>
      <c r="AC10" s="23">
        <f t="shared" si="8"/>
        <v>0</v>
      </c>
      <c r="AD10" s="23">
        <f t="shared" si="16"/>
        <v>0</v>
      </c>
      <c r="AE10" s="10">
        <f t="shared" si="17"/>
        <v>0</v>
      </c>
      <c r="AF10" s="10">
        <f t="shared" si="18"/>
        <v>166021.54969683522</v>
      </c>
      <c r="AG10" s="10">
        <f t="shared" si="19"/>
        <v>31</v>
      </c>
    </row>
    <row r="11" spans="1:33" ht="17.25">
      <c r="A11" s="2" t="s">
        <v>21</v>
      </c>
      <c r="B11" s="2" t="s">
        <v>22</v>
      </c>
      <c r="C11" s="2"/>
      <c r="D11" s="18"/>
      <c r="E11" s="18"/>
      <c r="F11" s="18"/>
      <c r="G11" s="18"/>
      <c r="H11" s="18"/>
      <c r="I11" s="18"/>
      <c r="J11">
        <f t="shared" si="9"/>
        <v>0</v>
      </c>
      <c r="K11">
        <f t="shared" si="10"/>
        <v>0</v>
      </c>
      <c r="L11" s="75"/>
      <c r="M11" s="75"/>
      <c r="N11" s="23">
        <f t="shared" si="11"/>
        <v>31</v>
      </c>
      <c r="O11" s="23">
        <f t="shared" si="12"/>
        <v>3</v>
      </c>
      <c r="P11" s="23">
        <f t="shared" si="13"/>
        <v>-1.08</v>
      </c>
      <c r="Q11" s="23">
        <f t="shared" si="14"/>
        <v>0</v>
      </c>
      <c r="R11" s="23">
        <f t="shared" si="15"/>
        <v>0</v>
      </c>
      <c r="S11" s="23">
        <f t="shared" si="20"/>
        <v>6335439.327202763</v>
      </c>
      <c r="T11" s="23">
        <f t="shared" si="21"/>
        <v>6378137</v>
      </c>
      <c r="V11" s="23">
        <f t="shared" si="22"/>
        <v>0</v>
      </c>
      <c r="X11" s="23">
        <f t="shared" si="23"/>
        <v>0</v>
      </c>
      <c r="Y11" s="23">
        <f t="shared" si="4"/>
        <v>0</v>
      </c>
      <c r="Z11" s="23">
        <f t="shared" si="5"/>
        <v>0</v>
      </c>
      <c r="AA11" s="23">
        <f t="shared" si="6"/>
        <v>309097.11943598965</v>
      </c>
      <c r="AB11" s="23">
        <f t="shared" si="7"/>
        <v>121.90192067388125</v>
      </c>
      <c r="AC11" s="23">
        <f t="shared" si="8"/>
        <v>0</v>
      </c>
      <c r="AD11" s="23">
        <f t="shared" si="16"/>
        <v>0</v>
      </c>
      <c r="AE11" s="10">
        <f t="shared" si="17"/>
        <v>0</v>
      </c>
      <c r="AF11" s="10">
        <f t="shared" si="18"/>
        <v>166021.54969683522</v>
      </c>
      <c r="AG11" s="10">
        <f t="shared" si="19"/>
        <v>31</v>
      </c>
    </row>
    <row r="12" spans="1:33" ht="17.25">
      <c r="A12" s="2" t="s">
        <v>24</v>
      </c>
      <c r="B12" s="2" t="s">
        <v>25</v>
      </c>
      <c r="C12" s="2"/>
      <c r="D12" s="18"/>
      <c r="E12" s="18"/>
      <c r="F12" s="18"/>
      <c r="G12" s="18"/>
      <c r="H12" s="18"/>
      <c r="I12" s="18"/>
      <c r="J12">
        <f t="shared" si="9"/>
        <v>0</v>
      </c>
      <c r="K12">
        <f t="shared" si="10"/>
        <v>0</v>
      </c>
      <c r="L12" s="75"/>
      <c r="M12" s="75"/>
      <c r="N12" s="23">
        <f t="shared" si="11"/>
        <v>31</v>
      </c>
      <c r="O12" s="23">
        <f t="shared" si="12"/>
        <v>3</v>
      </c>
      <c r="P12" s="23">
        <f t="shared" si="13"/>
        <v>-1.08</v>
      </c>
      <c r="Q12" s="23">
        <f t="shared" si="14"/>
        <v>0</v>
      </c>
      <c r="R12" s="23">
        <f t="shared" si="15"/>
        <v>0</v>
      </c>
      <c r="S12" s="23">
        <f t="shared" si="20"/>
        <v>6335439.327202763</v>
      </c>
      <c r="T12" s="23">
        <f t="shared" si="21"/>
        <v>6378137</v>
      </c>
      <c r="V12" s="23">
        <f t="shared" si="22"/>
        <v>0</v>
      </c>
      <c r="X12" s="23">
        <f t="shared" si="23"/>
        <v>0</v>
      </c>
      <c r="Y12" s="23">
        <f t="shared" si="4"/>
        <v>0</v>
      </c>
      <c r="Z12" s="23">
        <f t="shared" si="5"/>
        <v>0</v>
      </c>
      <c r="AA12" s="23">
        <f t="shared" si="6"/>
        <v>309097.11943598965</v>
      </c>
      <c r="AB12" s="23">
        <f t="shared" si="7"/>
        <v>121.90192067388125</v>
      </c>
      <c r="AC12" s="23">
        <f t="shared" si="8"/>
        <v>0</v>
      </c>
      <c r="AD12" s="23">
        <f t="shared" si="16"/>
        <v>0</v>
      </c>
      <c r="AE12" s="10">
        <f t="shared" si="17"/>
        <v>0</v>
      </c>
      <c r="AF12" s="10">
        <f t="shared" si="18"/>
        <v>166021.54969683522</v>
      </c>
      <c r="AG12" s="10">
        <f t="shared" si="19"/>
        <v>31</v>
      </c>
    </row>
    <row r="13" spans="1:33" ht="17.25">
      <c r="A13" s="2"/>
      <c r="B13" s="2" t="s">
        <v>43</v>
      </c>
      <c r="C13" s="2"/>
      <c r="D13" s="18"/>
      <c r="E13" s="18"/>
      <c r="F13" s="18"/>
      <c r="G13" s="18"/>
      <c r="H13" s="18"/>
      <c r="I13" s="18"/>
      <c r="J13">
        <f t="shared" si="9"/>
        <v>0</v>
      </c>
      <c r="K13">
        <f t="shared" si="10"/>
        <v>0</v>
      </c>
      <c r="L13" s="75"/>
      <c r="M13" s="75"/>
      <c r="N13" s="23">
        <f t="shared" si="11"/>
        <v>31</v>
      </c>
      <c r="O13" s="23">
        <f t="shared" si="12"/>
        <v>3</v>
      </c>
      <c r="P13" s="23">
        <f t="shared" si="13"/>
        <v>-1.08</v>
      </c>
      <c r="Q13" s="23">
        <f t="shared" si="14"/>
        <v>0</v>
      </c>
      <c r="R13" s="23">
        <f t="shared" si="15"/>
        <v>0</v>
      </c>
      <c r="S13" s="23">
        <f t="shared" si="20"/>
        <v>6335439.327202763</v>
      </c>
      <c r="T13" s="23">
        <f t="shared" si="21"/>
        <v>6378137</v>
      </c>
      <c r="V13" s="23">
        <f t="shared" si="22"/>
        <v>0</v>
      </c>
      <c r="X13" s="23">
        <f t="shared" si="23"/>
        <v>0</v>
      </c>
      <c r="Y13" s="23">
        <f t="shared" si="4"/>
        <v>0</v>
      </c>
      <c r="Z13" s="23">
        <f t="shared" si="5"/>
        <v>0</v>
      </c>
      <c r="AA13" s="23">
        <f t="shared" si="6"/>
        <v>309097.11943598965</v>
      </c>
      <c r="AB13" s="23">
        <f t="shared" si="7"/>
        <v>121.90192067388125</v>
      </c>
      <c r="AC13" s="23">
        <f t="shared" si="8"/>
        <v>0</v>
      </c>
      <c r="AD13" s="23">
        <f t="shared" si="16"/>
        <v>0</v>
      </c>
      <c r="AE13" s="10">
        <f t="shared" si="17"/>
        <v>0</v>
      </c>
      <c r="AF13" s="10">
        <f t="shared" si="18"/>
        <v>166021.54969683522</v>
      </c>
      <c r="AG13" s="10">
        <f t="shared" si="19"/>
        <v>31</v>
      </c>
    </row>
    <row r="14" spans="1:33" ht="17.25">
      <c r="A14" s="2"/>
      <c r="B14" s="2" t="s">
        <v>27</v>
      </c>
      <c r="C14" s="2"/>
      <c r="D14" s="18"/>
      <c r="E14" s="18"/>
      <c r="F14" s="18"/>
      <c r="G14" s="18"/>
      <c r="H14" s="18"/>
      <c r="I14" s="18"/>
      <c r="J14">
        <f t="shared" si="9"/>
        <v>0</v>
      </c>
      <c r="K14">
        <f t="shared" si="10"/>
        <v>0</v>
      </c>
      <c r="L14" s="75"/>
      <c r="M14" s="75"/>
      <c r="N14" s="23">
        <f t="shared" si="11"/>
        <v>31</v>
      </c>
      <c r="O14" s="23">
        <f t="shared" si="12"/>
        <v>3</v>
      </c>
      <c r="P14" s="23">
        <f t="shared" si="13"/>
        <v>-1.08</v>
      </c>
      <c r="Q14" s="23">
        <f t="shared" si="14"/>
        <v>0</v>
      </c>
      <c r="R14" s="23">
        <f t="shared" si="15"/>
        <v>0</v>
      </c>
      <c r="S14" s="23">
        <f t="shared" si="20"/>
        <v>6335439.327202763</v>
      </c>
      <c r="T14" s="23">
        <f t="shared" si="21"/>
        <v>6378137</v>
      </c>
      <c r="V14" s="23">
        <f t="shared" si="22"/>
        <v>0</v>
      </c>
      <c r="X14" s="23">
        <f t="shared" si="23"/>
        <v>0</v>
      </c>
      <c r="Y14" s="23">
        <f t="shared" si="4"/>
        <v>0</v>
      </c>
      <c r="Z14" s="23">
        <f t="shared" si="5"/>
        <v>0</v>
      </c>
      <c r="AA14" s="23">
        <f t="shared" si="6"/>
        <v>309097.11943598965</v>
      </c>
      <c r="AB14" s="23">
        <f t="shared" si="7"/>
        <v>121.90192067388125</v>
      </c>
      <c r="AC14" s="23">
        <f t="shared" si="8"/>
        <v>0</v>
      </c>
      <c r="AD14" s="23">
        <f t="shared" si="16"/>
        <v>0</v>
      </c>
      <c r="AE14" s="10">
        <f t="shared" si="17"/>
        <v>0</v>
      </c>
      <c r="AF14" s="10">
        <f t="shared" si="18"/>
        <v>166021.54969683522</v>
      </c>
      <c r="AG14" s="10">
        <f t="shared" si="19"/>
        <v>31</v>
      </c>
    </row>
    <row r="15" spans="1:33" ht="17.25">
      <c r="A15" s="4" t="s">
        <v>181</v>
      </c>
      <c r="B15" s="4"/>
      <c r="C15" s="2"/>
      <c r="D15" s="18"/>
      <c r="E15" s="18"/>
      <c r="F15" s="18"/>
      <c r="G15" s="18"/>
      <c r="H15" s="18"/>
      <c r="I15" s="18"/>
      <c r="J15">
        <f aca="true" t="shared" si="24" ref="J15:J24">D15+E15/60+F15/3600</f>
        <v>0</v>
      </c>
      <c r="K15">
        <f aca="true" t="shared" si="25" ref="K15:K24">G15+H15/60+I15/3600</f>
        <v>0</v>
      </c>
      <c r="L15" s="75"/>
      <c r="M15" s="75"/>
      <c r="N15" s="23">
        <f aca="true" t="shared" si="26" ref="N15:N24">31+INT(M15/6)</f>
        <v>31</v>
      </c>
      <c r="O15" s="23">
        <f aca="true" t="shared" si="27" ref="O15:O24">6*N15-183</f>
        <v>3</v>
      </c>
      <c r="P15" s="23">
        <f aca="true" t="shared" si="28" ref="P15:P24">(M15-O15)*3600/10000</f>
        <v>-1.08</v>
      </c>
      <c r="Q15" s="23">
        <f aca="true" t="shared" si="29" ref="Q15:Q24">L15*PI()/180</f>
        <v>0</v>
      </c>
      <c r="R15" s="23">
        <f aca="true" t="shared" si="30" ref="R15:R24">M15*PI()/180</f>
        <v>0</v>
      </c>
      <c r="S15" s="23">
        <f aca="true" t="shared" si="31" ref="S15:S24">a*(1-e*e)/((1-(e*SIN(Q15))^2)^(3/2))</f>
        <v>6335439.327202763</v>
      </c>
      <c r="T15" s="23">
        <f aca="true" t="shared" si="32" ref="T15:T24">a/((1-(e*SIN(Q15))^2)^(1/2))</f>
        <v>6378137</v>
      </c>
      <c r="V15" s="23">
        <f aca="true" t="shared" si="33" ref="V15:V24">A0*Q15-B0*SIN(2*Q15)+C0*SIN(4*Q15)-D0*SIN(6*Q15)+E0*SIN(8*Q15)</f>
        <v>0</v>
      </c>
      <c r="X15" s="23">
        <f aca="true" t="shared" si="34" ref="X15:X24">V15*k0</f>
        <v>0</v>
      </c>
      <c r="Y15" s="23">
        <f aca="true" t="shared" si="35" ref="Y15:Y24">T15*SIN(Q15)*COS(Q15)*Sin1^2*k0*(100000000)/2</f>
        <v>0</v>
      </c>
      <c r="Z15" s="23">
        <f aca="true" t="shared" si="36" ref="Z15:Z24">((Sin1^4*T15*SIN(Q15)*COS(Q15)^3)/24)*(5-TAN(Q15)^2+9*e1sq*COS(Q15)^2+4*e1sq^2*COS(Q15)^4)*k0*(10000000000000000)</f>
        <v>0</v>
      </c>
      <c r="AA15" s="23">
        <f aca="true" t="shared" si="37" ref="AA15:AA24">T15*COS(Q15)*Sin1*k0*10000</f>
        <v>309097.11943598965</v>
      </c>
      <c r="AB15" s="23">
        <f aca="true" t="shared" si="38" ref="AB15:AB24">(Sin1*COS(Q15))^3*(T15/6)*(1-TAN(Q15)^2+e1sq*COS(Q15)^2)*k0*(1000000000000)</f>
        <v>121.90192067388125</v>
      </c>
      <c r="AC15" s="23">
        <f aca="true" t="shared" si="39" ref="AC15:AC24">((P15*Sin1)^6*T15*SIN(Q15)*COS(Q15)^5/720)*(61-58*TAN(Q15)^2+TAN(Q15)^4+270*e1sq*COS(Q15)^2-330*e1sq*SIN(Q15)^2)*k0*(1E+24)</f>
        <v>0</v>
      </c>
      <c r="AD15" s="23">
        <f aca="true" t="shared" si="40" ref="AD15:AD24">(X15+Y15*P15*P15+Z15*P15^4)</f>
        <v>0</v>
      </c>
      <c r="AE15" s="10">
        <f aca="true" t="shared" si="41" ref="AE15:AE24">IF(AD15&lt;0,10000000+AD15,AD15)</f>
        <v>0</v>
      </c>
      <c r="AF15" s="10">
        <f aca="true" t="shared" si="42" ref="AF15:AF24">500000+(AA15*P15+AB15*P15^3)</f>
        <v>166021.54969683522</v>
      </c>
      <c r="AG15" s="10">
        <f aca="true" t="shared" si="43" ref="AG15:AG24">N15</f>
        <v>31</v>
      </c>
    </row>
    <row r="16" spans="1:33" ht="17.25">
      <c r="A16" s="1" t="s">
        <v>48</v>
      </c>
      <c r="B16" s="1">
        <f>a*(1-n+(5*n*n/4)*(1-n)+(81*n^4/64)*(1-n))</f>
        <v>6367449.145800845</v>
      </c>
      <c r="C16" s="2"/>
      <c r="D16" s="18"/>
      <c r="E16" s="18"/>
      <c r="F16" s="18"/>
      <c r="G16" s="18"/>
      <c r="H16" s="18"/>
      <c r="I16" s="18"/>
      <c r="J16">
        <f t="shared" si="24"/>
        <v>0</v>
      </c>
      <c r="K16">
        <f t="shared" si="25"/>
        <v>0</v>
      </c>
      <c r="L16" s="75"/>
      <c r="M16" s="75"/>
      <c r="N16" s="23">
        <f t="shared" si="26"/>
        <v>31</v>
      </c>
      <c r="O16" s="23">
        <f t="shared" si="27"/>
        <v>3</v>
      </c>
      <c r="P16" s="23">
        <f t="shared" si="28"/>
        <v>-1.08</v>
      </c>
      <c r="Q16" s="23">
        <f t="shared" si="29"/>
        <v>0</v>
      </c>
      <c r="R16" s="23">
        <f t="shared" si="30"/>
        <v>0</v>
      </c>
      <c r="S16" s="23">
        <f t="shared" si="31"/>
        <v>6335439.327202763</v>
      </c>
      <c r="T16" s="23">
        <f t="shared" si="32"/>
        <v>6378137</v>
      </c>
      <c r="V16" s="23">
        <f t="shared" si="33"/>
        <v>0</v>
      </c>
      <c r="X16" s="23">
        <f t="shared" si="34"/>
        <v>0</v>
      </c>
      <c r="Y16" s="23">
        <f t="shared" si="35"/>
        <v>0</v>
      </c>
      <c r="Z16" s="23">
        <f t="shared" si="36"/>
        <v>0</v>
      </c>
      <c r="AA16" s="23">
        <f t="shared" si="37"/>
        <v>309097.11943598965</v>
      </c>
      <c r="AB16" s="23">
        <f t="shared" si="38"/>
        <v>121.90192067388125</v>
      </c>
      <c r="AC16" s="23">
        <f t="shared" si="39"/>
        <v>0</v>
      </c>
      <c r="AD16" s="23">
        <f t="shared" si="40"/>
        <v>0</v>
      </c>
      <c r="AE16" s="10">
        <f t="shared" si="41"/>
        <v>0</v>
      </c>
      <c r="AF16" s="10">
        <f t="shared" si="42"/>
        <v>166021.54969683522</v>
      </c>
      <c r="AG16" s="10">
        <f t="shared" si="43"/>
        <v>31</v>
      </c>
    </row>
    <row r="17" spans="1:33" ht="17.25">
      <c r="A17" s="1" t="s">
        <v>44</v>
      </c>
      <c r="B17" s="1">
        <f>(3*a*n/2)*(1-n-(7*n*n/8)*(1-n)+55*n^4/64)</f>
        <v>16038.429553159074</v>
      </c>
      <c r="C17" s="2"/>
      <c r="D17" s="18"/>
      <c r="E17" s="18"/>
      <c r="F17" s="18"/>
      <c r="G17" s="18"/>
      <c r="H17" s="18"/>
      <c r="I17" s="18"/>
      <c r="J17">
        <f t="shared" si="24"/>
        <v>0</v>
      </c>
      <c r="K17">
        <f t="shared" si="25"/>
        <v>0</v>
      </c>
      <c r="L17" s="75"/>
      <c r="M17" s="75"/>
      <c r="N17" s="23">
        <f t="shared" si="26"/>
        <v>31</v>
      </c>
      <c r="O17" s="23">
        <f t="shared" si="27"/>
        <v>3</v>
      </c>
      <c r="P17" s="23">
        <f t="shared" si="28"/>
        <v>-1.08</v>
      </c>
      <c r="Q17" s="23">
        <f t="shared" si="29"/>
        <v>0</v>
      </c>
      <c r="R17" s="23">
        <f t="shared" si="30"/>
        <v>0</v>
      </c>
      <c r="S17" s="23">
        <f t="shared" si="31"/>
        <v>6335439.327202763</v>
      </c>
      <c r="T17" s="23">
        <f t="shared" si="32"/>
        <v>6378137</v>
      </c>
      <c r="V17" s="23">
        <f t="shared" si="33"/>
        <v>0</v>
      </c>
      <c r="X17" s="23">
        <f t="shared" si="34"/>
        <v>0</v>
      </c>
      <c r="Y17" s="23">
        <f t="shared" si="35"/>
        <v>0</v>
      </c>
      <c r="Z17" s="23">
        <f t="shared" si="36"/>
        <v>0</v>
      </c>
      <c r="AA17" s="23">
        <f t="shared" si="37"/>
        <v>309097.11943598965</v>
      </c>
      <c r="AB17" s="23">
        <f t="shared" si="38"/>
        <v>121.90192067388125</v>
      </c>
      <c r="AC17" s="23">
        <f t="shared" si="39"/>
        <v>0</v>
      </c>
      <c r="AD17" s="23">
        <f t="shared" si="40"/>
        <v>0</v>
      </c>
      <c r="AE17" s="10">
        <f t="shared" si="41"/>
        <v>0</v>
      </c>
      <c r="AF17" s="10">
        <f t="shared" si="42"/>
        <v>166021.54969683522</v>
      </c>
      <c r="AG17" s="10">
        <f t="shared" si="43"/>
        <v>31</v>
      </c>
    </row>
    <row r="18" spans="1:33" ht="17.25">
      <c r="A18" s="1" t="s">
        <v>45</v>
      </c>
      <c r="B18" s="1">
        <f>(15*a*n*n/16)*(1-n+(3*n*n/4)*(1-n))</f>
        <v>16.832613334334404</v>
      </c>
      <c r="C18" s="2"/>
      <c r="D18" s="18"/>
      <c r="E18" s="18"/>
      <c r="F18" s="18"/>
      <c r="G18" s="18"/>
      <c r="H18" s="18"/>
      <c r="I18" s="18"/>
      <c r="J18">
        <f t="shared" si="24"/>
        <v>0</v>
      </c>
      <c r="K18">
        <f t="shared" si="25"/>
        <v>0</v>
      </c>
      <c r="L18" s="75"/>
      <c r="M18" s="75"/>
      <c r="N18" s="23">
        <f t="shared" si="26"/>
        <v>31</v>
      </c>
      <c r="O18" s="23">
        <f t="shared" si="27"/>
        <v>3</v>
      </c>
      <c r="P18" s="23">
        <f t="shared" si="28"/>
        <v>-1.08</v>
      </c>
      <c r="Q18" s="23">
        <f t="shared" si="29"/>
        <v>0</v>
      </c>
      <c r="R18" s="23">
        <f t="shared" si="30"/>
        <v>0</v>
      </c>
      <c r="S18" s="23">
        <f t="shared" si="31"/>
        <v>6335439.327202763</v>
      </c>
      <c r="T18" s="23">
        <f t="shared" si="32"/>
        <v>6378137</v>
      </c>
      <c r="V18" s="23">
        <f t="shared" si="33"/>
        <v>0</v>
      </c>
      <c r="X18" s="23">
        <f t="shared" si="34"/>
        <v>0</v>
      </c>
      <c r="Y18" s="23">
        <f t="shared" si="35"/>
        <v>0</v>
      </c>
      <c r="Z18" s="23">
        <f t="shared" si="36"/>
        <v>0</v>
      </c>
      <c r="AA18" s="23">
        <f t="shared" si="37"/>
        <v>309097.11943598965</v>
      </c>
      <c r="AB18" s="23">
        <f t="shared" si="38"/>
        <v>121.90192067388125</v>
      </c>
      <c r="AC18" s="23">
        <f t="shared" si="39"/>
        <v>0</v>
      </c>
      <c r="AD18" s="23">
        <f t="shared" si="40"/>
        <v>0</v>
      </c>
      <c r="AE18" s="10">
        <f t="shared" si="41"/>
        <v>0</v>
      </c>
      <c r="AF18" s="10">
        <f t="shared" si="42"/>
        <v>166021.54969683522</v>
      </c>
      <c r="AG18" s="10">
        <f t="shared" si="43"/>
        <v>31</v>
      </c>
    </row>
    <row r="19" spans="1:33" ht="17.25">
      <c r="A19" s="1" t="s">
        <v>46</v>
      </c>
      <c r="B19" s="1">
        <f>(35*a*n^3/48)*(1-n+11*n*n/16)</f>
        <v>0.02198440427375735</v>
      </c>
      <c r="C19" s="2"/>
      <c r="D19" s="18"/>
      <c r="E19" s="18"/>
      <c r="F19" s="18"/>
      <c r="G19" s="18"/>
      <c r="H19" s="18"/>
      <c r="I19" s="18"/>
      <c r="J19">
        <f t="shared" si="24"/>
        <v>0</v>
      </c>
      <c r="K19">
        <f t="shared" si="25"/>
        <v>0</v>
      </c>
      <c r="L19" s="75"/>
      <c r="M19" s="75"/>
      <c r="N19" s="23">
        <f t="shared" si="26"/>
        <v>31</v>
      </c>
      <c r="O19" s="23">
        <f t="shared" si="27"/>
        <v>3</v>
      </c>
      <c r="P19" s="23">
        <f t="shared" si="28"/>
        <v>-1.08</v>
      </c>
      <c r="Q19" s="23">
        <f t="shared" si="29"/>
        <v>0</v>
      </c>
      <c r="R19" s="23">
        <f t="shared" si="30"/>
        <v>0</v>
      </c>
      <c r="S19" s="23">
        <f t="shared" si="31"/>
        <v>6335439.327202763</v>
      </c>
      <c r="T19" s="23">
        <f t="shared" si="32"/>
        <v>6378137</v>
      </c>
      <c r="V19" s="23">
        <f t="shared" si="33"/>
        <v>0</v>
      </c>
      <c r="X19" s="23">
        <f t="shared" si="34"/>
        <v>0</v>
      </c>
      <c r="Y19" s="23">
        <f t="shared" si="35"/>
        <v>0</v>
      </c>
      <c r="Z19" s="23">
        <f t="shared" si="36"/>
        <v>0</v>
      </c>
      <c r="AA19" s="23">
        <f t="shared" si="37"/>
        <v>309097.11943598965</v>
      </c>
      <c r="AB19" s="23">
        <f t="shared" si="38"/>
        <v>121.90192067388125</v>
      </c>
      <c r="AC19" s="23">
        <f t="shared" si="39"/>
        <v>0</v>
      </c>
      <c r="AD19" s="23">
        <f t="shared" si="40"/>
        <v>0</v>
      </c>
      <c r="AE19" s="10">
        <f t="shared" si="41"/>
        <v>0</v>
      </c>
      <c r="AF19" s="10">
        <f t="shared" si="42"/>
        <v>166021.54969683522</v>
      </c>
      <c r="AG19" s="10">
        <f t="shared" si="43"/>
        <v>31</v>
      </c>
    </row>
    <row r="20" spans="1:33" ht="17.25">
      <c r="A20" s="1" t="s">
        <v>47</v>
      </c>
      <c r="B20" s="1">
        <f>(315*a*n^4/51)*(1-n)</f>
        <v>0.0003127052179504484</v>
      </c>
      <c r="C20" s="2"/>
      <c r="D20" s="18"/>
      <c r="E20" s="18"/>
      <c r="F20" s="18"/>
      <c r="G20" s="18"/>
      <c r="H20" s="18"/>
      <c r="I20" s="18"/>
      <c r="J20">
        <f t="shared" si="24"/>
        <v>0</v>
      </c>
      <c r="K20">
        <f t="shared" si="25"/>
        <v>0</v>
      </c>
      <c r="L20" s="75"/>
      <c r="M20" s="75"/>
      <c r="N20" s="23">
        <f t="shared" si="26"/>
        <v>31</v>
      </c>
      <c r="O20" s="23">
        <f t="shared" si="27"/>
        <v>3</v>
      </c>
      <c r="P20" s="23">
        <f t="shared" si="28"/>
        <v>-1.08</v>
      </c>
      <c r="Q20" s="23">
        <f t="shared" si="29"/>
        <v>0</v>
      </c>
      <c r="R20" s="23">
        <f t="shared" si="30"/>
        <v>0</v>
      </c>
      <c r="S20" s="23">
        <f t="shared" si="31"/>
        <v>6335439.327202763</v>
      </c>
      <c r="T20" s="23">
        <f t="shared" si="32"/>
        <v>6378137</v>
      </c>
      <c r="V20" s="23">
        <f t="shared" si="33"/>
        <v>0</v>
      </c>
      <c r="X20" s="23">
        <f t="shared" si="34"/>
        <v>0</v>
      </c>
      <c r="Y20" s="23">
        <f t="shared" si="35"/>
        <v>0</v>
      </c>
      <c r="Z20" s="23">
        <f t="shared" si="36"/>
        <v>0</v>
      </c>
      <c r="AA20" s="23">
        <f t="shared" si="37"/>
        <v>309097.11943598965</v>
      </c>
      <c r="AB20" s="23">
        <f t="shared" si="38"/>
        <v>121.90192067388125</v>
      </c>
      <c r="AC20" s="23">
        <f t="shared" si="39"/>
        <v>0</v>
      </c>
      <c r="AD20" s="23">
        <f t="shared" si="40"/>
        <v>0</v>
      </c>
      <c r="AE20" s="10">
        <f t="shared" si="41"/>
        <v>0</v>
      </c>
      <c r="AF20" s="10">
        <f t="shared" si="42"/>
        <v>166021.54969683522</v>
      </c>
      <c r="AG20" s="10">
        <f t="shared" si="43"/>
        <v>31</v>
      </c>
    </row>
    <row r="21" spans="1:33" ht="17.25">
      <c r="A21" s="8" t="s">
        <v>53</v>
      </c>
      <c r="B21" s="9"/>
      <c r="C21" s="2"/>
      <c r="D21" s="18"/>
      <c r="E21" s="18"/>
      <c r="F21" s="18"/>
      <c r="G21" s="18"/>
      <c r="H21" s="18"/>
      <c r="I21" s="18"/>
      <c r="J21">
        <f t="shared" si="24"/>
        <v>0</v>
      </c>
      <c r="K21">
        <f t="shared" si="25"/>
        <v>0</v>
      </c>
      <c r="L21" s="75"/>
      <c r="M21" s="75"/>
      <c r="N21" s="23">
        <f t="shared" si="26"/>
        <v>31</v>
      </c>
      <c r="O21" s="23">
        <f t="shared" si="27"/>
        <v>3</v>
      </c>
      <c r="P21" s="23">
        <f t="shared" si="28"/>
        <v>-1.08</v>
      </c>
      <c r="Q21" s="23">
        <f t="shared" si="29"/>
        <v>0</v>
      </c>
      <c r="R21" s="23">
        <f t="shared" si="30"/>
        <v>0</v>
      </c>
      <c r="S21" s="23">
        <f t="shared" si="31"/>
        <v>6335439.327202763</v>
      </c>
      <c r="T21" s="23">
        <f t="shared" si="32"/>
        <v>6378137</v>
      </c>
      <c r="V21" s="23">
        <f t="shared" si="33"/>
        <v>0</v>
      </c>
      <c r="X21" s="23">
        <f t="shared" si="34"/>
        <v>0</v>
      </c>
      <c r="Y21" s="23">
        <f t="shared" si="35"/>
        <v>0</v>
      </c>
      <c r="Z21" s="23">
        <f t="shared" si="36"/>
        <v>0</v>
      </c>
      <c r="AA21" s="23">
        <f t="shared" si="37"/>
        <v>309097.11943598965</v>
      </c>
      <c r="AB21" s="23">
        <f t="shared" si="38"/>
        <v>121.90192067388125</v>
      </c>
      <c r="AC21" s="23">
        <f t="shared" si="39"/>
        <v>0</v>
      </c>
      <c r="AD21" s="23">
        <f t="shared" si="40"/>
        <v>0</v>
      </c>
      <c r="AE21" s="10">
        <f t="shared" si="41"/>
        <v>0</v>
      </c>
      <c r="AF21" s="10">
        <f t="shared" si="42"/>
        <v>166021.54969683522</v>
      </c>
      <c r="AG21" s="10">
        <f t="shared" si="43"/>
        <v>31</v>
      </c>
    </row>
    <row r="22" spans="1:33" ht="17.25">
      <c r="A22" s="9" t="s">
        <v>36</v>
      </c>
      <c r="B22" s="9">
        <f>PI()/(180*3600)</f>
        <v>4.84813681109536E-06</v>
      </c>
      <c r="C22" s="2"/>
      <c r="D22" s="18"/>
      <c r="E22" s="18"/>
      <c r="F22" s="18"/>
      <c r="G22" s="18"/>
      <c r="H22" s="18"/>
      <c r="I22" s="18"/>
      <c r="J22">
        <f t="shared" si="24"/>
        <v>0</v>
      </c>
      <c r="K22">
        <f t="shared" si="25"/>
        <v>0</v>
      </c>
      <c r="L22" s="75"/>
      <c r="M22" s="75"/>
      <c r="N22" s="23">
        <f t="shared" si="26"/>
        <v>31</v>
      </c>
      <c r="O22" s="23">
        <f t="shared" si="27"/>
        <v>3</v>
      </c>
      <c r="P22" s="23">
        <f t="shared" si="28"/>
        <v>-1.08</v>
      </c>
      <c r="Q22" s="23">
        <f t="shared" si="29"/>
        <v>0</v>
      </c>
      <c r="R22" s="23">
        <f t="shared" si="30"/>
        <v>0</v>
      </c>
      <c r="S22" s="23">
        <f t="shared" si="31"/>
        <v>6335439.327202763</v>
      </c>
      <c r="T22" s="23">
        <f t="shared" si="32"/>
        <v>6378137</v>
      </c>
      <c r="V22" s="23">
        <f t="shared" si="33"/>
        <v>0</v>
      </c>
      <c r="X22" s="23">
        <f t="shared" si="34"/>
        <v>0</v>
      </c>
      <c r="Y22" s="23">
        <f t="shared" si="35"/>
        <v>0</v>
      </c>
      <c r="Z22" s="23">
        <f t="shared" si="36"/>
        <v>0</v>
      </c>
      <c r="AA22" s="23">
        <f t="shared" si="37"/>
        <v>309097.11943598965</v>
      </c>
      <c r="AB22" s="23">
        <f t="shared" si="38"/>
        <v>121.90192067388125</v>
      </c>
      <c r="AC22" s="23">
        <f t="shared" si="39"/>
        <v>0</v>
      </c>
      <c r="AD22" s="23">
        <f t="shared" si="40"/>
        <v>0</v>
      </c>
      <c r="AE22" s="10">
        <f t="shared" si="41"/>
        <v>0</v>
      </c>
      <c r="AF22" s="10">
        <f t="shared" si="42"/>
        <v>166021.54969683522</v>
      </c>
      <c r="AG22" s="10">
        <f t="shared" si="43"/>
        <v>31</v>
      </c>
    </row>
    <row r="23" spans="3:33" ht="17.25">
      <c r="C23" s="2"/>
      <c r="D23" s="18"/>
      <c r="E23" s="18"/>
      <c r="F23" s="18"/>
      <c r="G23" s="18"/>
      <c r="H23" s="18"/>
      <c r="I23" s="18"/>
      <c r="J23">
        <f t="shared" si="24"/>
        <v>0</v>
      </c>
      <c r="K23">
        <f t="shared" si="25"/>
        <v>0</v>
      </c>
      <c r="L23" s="75"/>
      <c r="M23" s="75"/>
      <c r="N23" s="23">
        <f t="shared" si="26"/>
        <v>31</v>
      </c>
      <c r="O23" s="23">
        <f t="shared" si="27"/>
        <v>3</v>
      </c>
      <c r="P23" s="23">
        <f t="shared" si="28"/>
        <v>-1.08</v>
      </c>
      <c r="Q23" s="23">
        <f t="shared" si="29"/>
        <v>0</v>
      </c>
      <c r="R23" s="23">
        <f t="shared" si="30"/>
        <v>0</v>
      </c>
      <c r="S23" s="23">
        <f t="shared" si="31"/>
        <v>6335439.327202763</v>
      </c>
      <c r="T23" s="23">
        <f t="shared" si="32"/>
        <v>6378137</v>
      </c>
      <c r="V23" s="23">
        <f t="shared" si="33"/>
        <v>0</v>
      </c>
      <c r="X23" s="23">
        <f t="shared" si="34"/>
        <v>0</v>
      </c>
      <c r="Y23" s="23">
        <f t="shared" si="35"/>
        <v>0</v>
      </c>
      <c r="Z23" s="23">
        <f t="shared" si="36"/>
        <v>0</v>
      </c>
      <c r="AA23" s="23">
        <f t="shared" si="37"/>
        <v>309097.11943598965</v>
      </c>
      <c r="AB23" s="23">
        <f t="shared" si="38"/>
        <v>121.90192067388125</v>
      </c>
      <c r="AC23" s="23">
        <f t="shared" si="39"/>
        <v>0</v>
      </c>
      <c r="AD23" s="23">
        <f t="shared" si="40"/>
        <v>0</v>
      </c>
      <c r="AE23" s="10">
        <f t="shared" si="41"/>
        <v>0</v>
      </c>
      <c r="AF23" s="10">
        <f t="shared" si="42"/>
        <v>166021.54969683522</v>
      </c>
      <c r="AG23" s="10">
        <f t="shared" si="43"/>
        <v>31</v>
      </c>
    </row>
    <row r="24" spans="3:33" ht="17.25">
      <c r="C24" s="2"/>
      <c r="D24" s="18"/>
      <c r="E24" s="18"/>
      <c r="F24" s="18"/>
      <c r="G24" s="18"/>
      <c r="H24" s="18"/>
      <c r="I24" s="18"/>
      <c r="J24">
        <f t="shared" si="24"/>
        <v>0</v>
      </c>
      <c r="K24">
        <f t="shared" si="25"/>
        <v>0</v>
      </c>
      <c r="L24" s="75"/>
      <c r="M24" s="75"/>
      <c r="N24" s="23">
        <f t="shared" si="26"/>
        <v>31</v>
      </c>
      <c r="O24" s="23">
        <f t="shared" si="27"/>
        <v>3</v>
      </c>
      <c r="P24" s="23">
        <f t="shared" si="28"/>
        <v>-1.08</v>
      </c>
      <c r="Q24" s="23">
        <f t="shared" si="29"/>
        <v>0</v>
      </c>
      <c r="R24" s="23">
        <f t="shared" si="30"/>
        <v>0</v>
      </c>
      <c r="S24" s="23">
        <f t="shared" si="31"/>
        <v>6335439.327202763</v>
      </c>
      <c r="T24" s="23">
        <f t="shared" si="32"/>
        <v>6378137</v>
      </c>
      <c r="V24" s="23">
        <f t="shared" si="33"/>
        <v>0</v>
      </c>
      <c r="X24" s="23">
        <f t="shared" si="34"/>
        <v>0</v>
      </c>
      <c r="Y24" s="23">
        <f t="shared" si="35"/>
        <v>0</v>
      </c>
      <c r="Z24" s="23">
        <f t="shared" si="36"/>
        <v>0</v>
      </c>
      <c r="AA24" s="23">
        <f t="shared" si="37"/>
        <v>309097.11943598965</v>
      </c>
      <c r="AB24" s="23">
        <f t="shared" si="38"/>
        <v>121.90192067388125</v>
      </c>
      <c r="AC24" s="23">
        <f t="shared" si="39"/>
        <v>0</v>
      </c>
      <c r="AD24" s="23">
        <f t="shared" si="40"/>
        <v>0</v>
      </c>
      <c r="AE24" s="10">
        <f t="shared" si="41"/>
        <v>0</v>
      </c>
      <c r="AF24" s="10">
        <f t="shared" si="42"/>
        <v>166021.54969683522</v>
      </c>
      <c r="AG24" s="10">
        <f t="shared" si="43"/>
        <v>31</v>
      </c>
    </row>
    <row r="25" spans="3:33" ht="17.25">
      <c r="C25" s="2"/>
      <c r="D25" s="18"/>
      <c r="E25" s="18"/>
      <c r="F25" s="18"/>
      <c r="G25" s="18"/>
      <c r="H25" s="18"/>
      <c r="I25" s="18"/>
      <c r="J25">
        <f aca="true" t="shared" si="44" ref="J25:J79">D25+E25/60+F25/3600</f>
        <v>0</v>
      </c>
      <c r="K25">
        <f aca="true" t="shared" si="45" ref="K25:K79">G25+H25/60+I25/3600</f>
        <v>0</v>
      </c>
      <c r="L25" s="75"/>
      <c r="M25" s="75"/>
      <c r="N25" s="23">
        <f aca="true" t="shared" si="46" ref="N25:N79">31+INT(M25/6)</f>
        <v>31</v>
      </c>
      <c r="O25" s="23">
        <f aca="true" t="shared" si="47" ref="O25:O79">6*N25-183</f>
        <v>3</v>
      </c>
      <c r="P25" s="23">
        <f aca="true" t="shared" si="48" ref="P25:P79">(M25-O25)*3600/10000</f>
        <v>-1.08</v>
      </c>
      <c r="Q25" s="23">
        <f aca="true" t="shared" si="49" ref="Q25:Q79">L25*PI()/180</f>
        <v>0</v>
      </c>
      <c r="R25" s="23">
        <f aca="true" t="shared" si="50" ref="R25:R79">M25*PI()/180</f>
        <v>0</v>
      </c>
      <c r="S25" s="23">
        <f aca="true" t="shared" si="51" ref="S25:S79">a*(1-e*e)/((1-(e*SIN(Q25))^2)^(3/2))</f>
        <v>6335439.327202763</v>
      </c>
      <c r="T25" s="23">
        <f aca="true" t="shared" si="52" ref="T25:T79">a/((1-(e*SIN(Q25))^2)^(1/2))</f>
        <v>6378137</v>
      </c>
      <c r="V25" s="23">
        <f aca="true" t="shared" si="53" ref="V25:V79">A0*Q25-B0*SIN(2*Q25)+C0*SIN(4*Q25)-D0*SIN(6*Q25)+E0*SIN(8*Q25)</f>
        <v>0</v>
      </c>
      <c r="X25" s="23">
        <f aca="true" t="shared" si="54" ref="X25:X79">V25*k0</f>
        <v>0</v>
      </c>
      <c r="Y25" s="23">
        <f aca="true" t="shared" si="55" ref="Y25:Y79">T25*SIN(Q25)*COS(Q25)*Sin1^2*k0*(100000000)/2</f>
        <v>0</v>
      </c>
      <c r="Z25" s="23">
        <f aca="true" t="shared" si="56" ref="Z25:Z79">((Sin1^4*T25*SIN(Q25)*COS(Q25)^3)/24)*(5-TAN(Q25)^2+9*e1sq*COS(Q25)^2+4*e1sq^2*COS(Q25)^4)*k0*(10000000000000000)</f>
        <v>0</v>
      </c>
      <c r="AA25" s="23">
        <f aca="true" t="shared" si="57" ref="AA25:AA79">T25*COS(Q25)*Sin1*k0*10000</f>
        <v>309097.11943598965</v>
      </c>
      <c r="AB25" s="23">
        <f aca="true" t="shared" si="58" ref="AB25:AB79">(Sin1*COS(Q25))^3*(T25/6)*(1-TAN(Q25)^2+e1sq*COS(Q25)^2)*k0*(1000000000000)</f>
        <v>121.90192067388125</v>
      </c>
      <c r="AC25" s="23">
        <f aca="true" t="shared" si="59" ref="AC25:AC79">((P25*Sin1)^6*T25*SIN(Q25)*COS(Q25)^5/720)*(61-58*TAN(Q25)^2+TAN(Q25)^4+270*e1sq*COS(Q25)^2-330*e1sq*SIN(Q25)^2)*k0*(1E+24)</f>
        <v>0</v>
      </c>
      <c r="AD25" s="23">
        <f aca="true" t="shared" si="60" ref="AD25:AD79">(X25+Y25*P25*P25+Z25*P25^4)</f>
        <v>0</v>
      </c>
      <c r="AE25" s="10">
        <f aca="true" t="shared" si="61" ref="AE25:AE79">IF(AD25&lt;0,10000000+AD25,AD25)</f>
        <v>0</v>
      </c>
      <c r="AF25" s="10">
        <f aca="true" t="shared" si="62" ref="AF25:AF79">500000+(AA25*P25+AB25*P25^3)</f>
        <v>166021.54969683522</v>
      </c>
      <c r="AG25" s="10">
        <f aca="true" t="shared" si="63" ref="AG25:AG79">N25</f>
        <v>31</v>
      </c>
    </row>
    <row r="26" spans="3:33" ht="17.25">
      <c r="C26" s="2"/>
      <c r="D26" s="18"/>
      <c r="E26" s="18"/>
      <c r="F26" s="18"/>
      <c r="G26" s="18"/>
      <c r="H26" s="18"/>
      <c r="I26" s="18"/>
      <c r="J26">
        <f t="shared" si="44"/>
        <v>0</v>
      </c>
      <c r="K26">
        <f t="shared" si="45"/>
        <v>0</v>
      </c>
      <c r="L26" s="75"/>
      <c r="M26" s="75"/>
      <c r="N26" s="23">
        <f t="shared" si="46"/>
        <v>31</v>
      </c>
      <c r="O26" s="23">
        <f t="shared" si="47"/>
        <v>3</v>
      </c>
      <c r="P26" s="23">
        <f t="shared" si="48"/>
        <v>-1.08</v>
      </c>
      <c r="Q26" s="23">
        <f t="shared" si="49"/>
        <v>0</v>
      </c>
      <c r="R26" s="23">
        <f t="shared" si="50"/>
        <v>0</v>
      </c>
      <c r="S26" s="23">
        <f t="shared" si="51"/>
        <v>6335439.327202763</v>
      </c>
      <c r="T26" s="23">
        <f t="shared" si="52"/>
        <v>6378137</v>
      </c>
      <c r="V26" s="23">
        <f t="shared" si="53"/>
        <v>0</v>
      </c>
      <c r="X26" s="23">
        <f t="shared" si="54"/>
        <v>0</v>
      </c>
      <c r="Y26" s="23">
        <f t="shared" si="55"/>
        <v>0</v>
      </c>
      <c r="Z26" s="23">
        <f t="shared" si="56"/>
        <v>0</v>
      </c>
      <c r="AA26" s="23">
        <f t="shared" si="57"/>
        <v>309097.11943598965</v>
      </c>
      <c r="AB26" s="23">
        <f t="shared" si="58"/>
        <v>121.90192067388125</v>
      </c>
      <c r="AC26" s="23">
        <f t="shared" si="59"/>
        <v>0</v>
      </c>
      <c r="AD26" s="23">
        <f t="shared" si="60"/>
        <v>0</v>
      </c>
      <c r="AE26" s="10">
        <f t="shared" si="61"/>
        <v>0</v>
      </c>
      <c r="AF26" s="10">
        <f t="shared" si="62"/>
        <v>166021.54969683522</v>
      </c>
      <c r="AG26" s="10">
        <f t="shared" si="63"/>
        <v>31</v>
      </c>
    </row>
    <row r="27" spans="3:33" ht="17.25">
      <c r="C27" s="2"/>
      <c r="D27" s="18"/>
      <c r="E27" s="18"/>
      <c r="F27" s="18"/>
      <c r="G27" s="18"/>
      <c r="H27" s="18"/>
      <c r="I27" s="18"/>
      <c r="J27">
        <f t="shared" si="44"/>
        <v>0</v>
      </c>
      <c r="K27">
        <f t="shared" si="45"/>
        <v>0</v>
      </c>
      <c r="L27" s="75"/>
      <c r="M27" s="75"/>
      <c r="N27" s="23">
        <f t="shared" si="46"/>
        <v>31</v>
      </c>
      <c r="O27" s="23">
        <f t="shared" si="47"/>
        <v>3</v>
      </c>
      <c r="P27" s="23">
        <f t="shared" si="48"/>
        <v>-1.08</v>
      </c>
      <c r="Q27" s="23">
        <f t="shared" si="49"/>
        <v>0</v>
      </c>
      <c r="R27" s="23">
        <f t="shared" si="50"/>
        <v>0</v>
      </c>
      <c r="S27" s="23">
        <f t="shared" si="51"/>
        <v>6335439.327202763</v>
      </c>
      <c r="T27" s="23">
        <f t="shared" si="52"/>
        <v>6378137</v>
      </c>
      <c r="V27" s="23">
        <f t="shared" si="53"/>
        <v>0</v>
      </c>
      <c r="X27" s="23">
        <f t="shared" si="54"/>
        <v>0</v>
      </c>
      <c r="Y27" s="23">
        <f t="shared" si="55"/>
        <v>0</v>
      </c>
      <c r="Z27" s="23">
        <f t="shared" si="56"/>
        <v>0</v>
      </c>
      <c r="AA27" s="23">
        <f t="shared" si="57"/>
        <v>309097.11943598965</v>
      </c>
      <c r="AB27" s="23">
        <f t="shared" si="58"/>
        <v>121.90192067388125</v>
      </c>
      <c r="AC27" s="23">
        <f t="shared" si="59"/>
        <v>0</v>
      </c>
      <c r="AD27" s="23">
        <f t="shared" si="60"/>
        <v>0</v>
      </c>
      <c r="AE27" s="10">
        <f t="shared" si="61"/>
        <v>0</v>
      </c>
      <c r="AF27" s="10">
        <f t="shared" si="62"/>
        <v>166021.54969683522</v>
      </c>
      <c r="AG27" s="10">
        <f t="shared" si="63"/>
        <v>31</v>
      </c>
    </row>
    <row r="28" spans="3:33" ht="12.75">
      <c r="C28" s="2"/>
      <c r="D28" s="18"/>
      <c r="E28" s="18"/>
      <c r="F28" s="18"/>
      <c r="G28" s="18"/>
      <c r="H28" s="18"/>
      <c r="I28" s="18"/>
      <c r="J28">
        <f t="shared" si="44"/>
        <v>0</v>
      </c>
      <c r="K28">
        <f t="shared" si="45"/>
        <v>0</v>
      </c>
      <c r="L28" s="76"/>
      <c r="M28" s="76"/>
      <c r="N28" s="23">
        <f t="shared" si="46"/>
        <v>31</v>
      </c>
      <c r="O28" s="23">
        <f t="shared" si="47"/>
        <v>3</v>
      </c>
      <c r="P28" s="23">
        <f t="shared" si="48"/>
        <v>-1.08</v>
      </c>
      <c r="Q28" s="23">
        <f t="shared" si="49"/>
        <v>0</v>
      </c>
      <c r="R28" s="23">
        <f t="shared" si="50"/>
        <v>0</v>
      </c>
      <c r="S28" s="23">
        <f t="shared" si="51"/>
        <v>6335439.327202763</v>
      </c>
      <c r="T28" s="23">
        <f t="shared" si="52"/>
        <v>6378137</v>
      </c>
      <c r="V28" s="23">
        <f t="shared" si="53"/>
        <v>0</v>
      </c>
      <c r="X28" s="23">
        <f t="shared" si="54"/>
        <v>0</v>
      </c>
      <c r="Y28" s="23">
        <f t="shared" si="55"/>
        <v>0</v>
      </c>
      <c r="Z28" s="23">
        <f t="shared" si="56"/>
        <v>0</v>
      </c>
      <c r="AA28" s="23">
        <f t="shared" si="57"/>
        <v>309097.11943598965</v>
      </c>
      <c r="AB28" s="23">
        <f t="shared" si="58"/>
        <v>121.90192067388125</v>
      </c>
      <c r="AC28" s="23">
        <f t="shared" si="59"/>
        <v>0</v>
      </c>
      <c r="AD28" s="23">
        <f t="shared" si="60"/>
        <v>0</v>
      </c>
      <c r="AE28" s="10">
        <f t="shared" si="61"/>
        <v>0</v>
      </c>
      <c r="AF28" s="10">
        <f t="shared" si="62"/>
        <v>166021.54969683522</v>
      </c>
      <c r="AG28" s="10">
        <f t="shared" si="63"/>
        <v>31</v>
      </c>
    </row>
    <row r="29" spans="3:33" ht="17.25">
      <c r="C29" s="2"/>
      <c r="D29" s="18"/>
      <c r="E29" s="18"/>
      <c r="F29" s="18"/>
      <c r="G29" s="18"/>
      <c r="H29" s="18"/>
      <c r="I29" s="18"/>
      <c r="J29">
        <f t="shared" si="44"/>
        <v>0</v>
      </c>
      <c r="K29">
        <f t="shared" si="45"/>
        <v>0</v>
      </c>
      <c r="L29" s="75"/>
      <c r="M29" s="75"/>
      <c r="N29" s="23">
        <f t="shared" si="46"/>
        <v>31</v>
      </c>
      <c r="O29" s="23">
        <f t="shared" si="47"/>
        <v>3</v>
      </c>
      <c r="P29" s="23">
        <f t="shared" si="48"/>
        <v>-1.08</v>
      </c>
      <c r="Q29" s="23">
        <f t="shared" si="49"/>
        <v>0</v>
      </c>
      <c r="R29" s="23">
        <f t="shared" si="50"/>
        <v>0</v>
      </c>
      <c r="S29" s="23">
        <f t="shared" si="51"/>
        <v>6335439.327202763</v>
      </c>
      <c r="T29" s="23">
        <f t="shared" si="52"/>
        <v>6378137</v>
      </c>
      <c r="V29" s="23">
        <f t="shared" si="53"/>
        <v>0</v>
      </c>
      <c r="X29" s="23">
        <f t="shared" si="54"/>
        <v>0</v>
      </c>
      <c r="Y29" s="23">
        <f t="shared" si="55"/>
        <v>0</v>
      </c>
      <c r="Z29" s="23">
        <f t="shared" si="56"/>
        <v>0</v>
      </c>
      <c r="AA29" s="23">
        <f t="shared" si="57"/>
        <v>309097.11943598965</v>
      </c>
      <c r="AB29" s="23">
        <f t="shared" si="58"/>
        <v>121.90192067388125</v>
      </c>
      <c r="AC29" s="23">
        <f t="shared" si="59"/>
        <v>0</v>
      </c>
      <c r="AD29" s="23">
        <f t="shared" si="60"/>
        <v>0</v>
      </c>
      <c r="AE29" s="10">
        <f t="shared" si="61"/>
        <v>0</v>
      </c>
      <c r="AF29" s="10">
        <f t="shared" si="62"/>
        <v>166021.54969683522</v>
      </c>
      <c r="AG29" s="10">
        <f t="shared" si="63"/>
        <v>31</v>
      </c>
    </row>
    <row r="30" spans="3:33" ht="17.25">
      <c r="C30" s="2"/>
      <c r="D30" s="18"/>
      <c r="E30" s="18"/>
      <c r="F30" s="18"/>
      <c r="G30" s="18"/>
      <c r="H30" s="18"/>
      <c r="I30" s="18"/>
      <c r="J30">
        <f t="shared" si="44"/>
        <v>0</v>
      </c>
      <c r="K30">
        <f t="shared" si="45"/>
        <v>0</v>
      </c>
      <c r="L30" s="75"/>
      <c r="M30" s="75"/>
      <c r="N30" s="23">
        <f t="shared" si="46"/>
        <v>31</v>
      </c>
      <c r="O30" s="23">
        <f t="shared" si="47"/>
        <v>3</v>
      </c>
      <c r="P30" s="23">
        <f t="shared" si="48"/>
        <v>-1.08</v>
      </c>
      <c r="Q30" s="23">
        <f t="shared" si="49"/>
        <v>0</v>
      </c>
      <c r="R30" s="23">
        <f t="shared" si="50"/>
        <v>0</v>
      </c>
      <c r="S30" s="23">
        <f t="shared" si="51"/>
        <v>6335439.327202763</v>
      </c>
      <c r="T30" s="23">
        <f t="shared" si="52"/>
        <v>6378137</v>
      </c>
      <c r="V30" s="23">
        <f t="shared" si="53"/>
        <v>0</v>
      </c>
      <c r="X30" s="23">
        <f t="shared" si="54"/>
        <v>0</v>
      </c>
      <c r="Y30" s="23">
        <f t="shared" si="55"/>
        <v>0</v>
      </c>
      <c r="Z30" s="23">
        <f t="shared" si="56"/>
        <v>0</v>
      </c>
      <c r="AA30" s="23">
        <f t="shared" si="57"/>
        <v>309097.11943598965</v>
      </c>
      <c r="AB30" s="23">
        <f t="shared" si="58"/>
        <v>121.90192067388125</v>
      </c>
      <c r="AC30" s="23">
        <f t="shared" si="59"/>
        <v>0</v>
      </c>
      <c r="AD30" s="23">
        <f t="shared" si="60"/>
        <v>0</v>
      </c>
      <c r="AE30" s="10">
        <f t="shared" si="61"/>
        <v>0</v>
      </c>
      <c r="AF30" s="10">
        <f t="shared" si="62"/>
        <v>166021.54969683522</v>
      </c>
      <c r="AG30" s="10">
        <f t="shared" si="63"/>
        <v>31</v>
      </c>
    </row>
    <row r="31" spans="3:33" ht="17.25">
      <c r="C31" s="2"/>
      <c r="D31" s="18"/>
      <c r="E31" s="18"/>
      <c r="F31" s="18"/>
      <c r="G31" s="18"/>
      <c r="H31" s="18"/>
      <c r="I31" s="18"/>
      <c r="J31">
        <f t="shared" si="44"/>
        <v>0</v>
      </c>
      <c r="K31">
        <f t="shared" si="45"/>
        <v>0</v>
      </c>
      <c r="L31" s="75"/>
      <c r="M31" s="75"/>
      <c r="N31" s="23">
        <f t="shared" si="46"/>
        <v>31</v>
      </c>
      <c r="O31" s="23">
        <f t="shared" si="47"/>
        <v>3</v>
      </c>
      <c r="P31" s="23">
        <f t="shared" si="48"/>
        <v>-1.08</v>
      </c>
      <c r="Q31" s="23">
        <f t="shared" si="49"/>
        <v>0</v>
      </c>
      <c r="R31" s="23">
        <f t="shared" si="50"/>
        <v>0</v>
      </c>
      <c r="S31" s="23">
        <f t="shared" si="51"/>
        <v>6335439.327202763</v>
      </c>
      <c r="T31" s="23">
        <f t="shared" si="52"/>
        <v>6378137</v>
      </c>
      <c r="V31" s="23">
        <f t="shared" si="53"/>
        <v>0</v>
      </c>
      <c r="X31" s="23">
        <f t="shared" si="54"/>
        <v>0</v>
      </c>
      <c r="Y31" s="23">
        <f t="shared" si="55"/>
        <v>0</v>
      </c>
      <c r="Z31" s="23">
        <f t="shared" si="56"/>
        <v>0</v>
      </c>
      <c r="AA31" s="23">
        <f t="shared" si="57"/>
        <v>309097.11943598965</v>
      </c>
      <c r="AB31" s="23">
        <f t="shared" si="58"/>
        <v>121.90192067388125</v>
      </c>
      <c r="AC31" s="23">
        <f t="shared" si="59"/>
        <v>0</v>
      </c>
      <c r="AD31" s="23">
        <f t="shared" si="60"/>
        <v>0</v>
      </c>
      <c r="AE31" s="10">
        <f t="shared" si="61"/>
        <v>0</v>
      </c>
      <c r="AF31" s="10">
        <f t="shared" si="62"/>
        <v>166021.54969683522</v>
      </c>
      <c r="AG31" s="10">
        <f t="shared" si="63"/>
        <v>31</v>
      </c>
    </row>
    <row r="32" spans="3:33" ht="17.25">
      <c r="C32" s="2"/>
      <c r="D32" s="18"/>
      <c r="E32" s="18"/>
      <c r="F32" s="18"/>
      <c r="G32" s="18"/>
      <c r="H32" s="18"/>
      <c r="I32" s="18"/>
      <c r="J32">
        <f t="shared" si="44"/>
        <v>0</v>
      </c>
      <c r="K32">
        <f t="shared" si="45"/>
        <v>0</v>
      </c>
      <c r="L32" s="75"/>
      <c r="M32" s="75"/>
      <c r="N32" s="23">
        <f t="shared" si="46"/>
        <v>31</v>
      </c>
      <c r="O32" s="23">
        <f t="shared" si="47"/>
        <v>3</v>
      </c>
      <c r="P32" s="23">
        <f t="shared" si="48"/>
        <v>-1.08</v>
      </c>
      <c r="Q32" s="23">
        <f t="shared" si="49"/>
        <v>0</v>
      </c>
      <c r="R32" s="23">
        <f t="shared" si="50"/>
        <v>0</v>
      </c>
      <c r="S32" s="23">
        <f t="shared" si="51"/>
        <v>6335439.327202763</v>
      </c>
      <c r="T32" s="23">
        <f t="shared" si="52"/>
        <v>6378137</v>
      </c>
      <c r="V32" s="23">
        <f t="shared" si="53"/>
        <v>0</v>
      </c>
      <c r="X32" s="23">
        <f t="shared" si="54"/>
        <v>0</v>
      </c>
      <c r="Y32" s="23">
        <f t="shared" si="55"/>
        <v>0</v>
      </c>
      <c r="Z32" s="23">
        <f t="shared" si="56"/>
        <v>0</v>
      </c>
      <c r="AA32" s="23">
        <f t="shared" si="57"/>
        <v>309097.11943598965</v>
      </c>
      <c r="AB32" s="23">
        <f t="shared" si="58"/>
        <v>121.90192067388125</v>
      </c>
      <c r="AC32" s="23">
        <f t="shared" si="59"/>
        <v>0</v>
      </c>
      <c r="AD32" s="23">
        <f t="shared" si="60"/>
        <v>0</v>
      </c>
      <c r="AE32" s="10">
        <f t="shared" si="61"/>
        <v>0</v>
      </c>
      <c r="AF32" s="10">
        <f t="shared" si="62"/>
        <v>166021.54969683522</v>
      </c>
      <c r="AG32" s="10">
        <f t="shared" si="63"/>
        <v>31</v>
      </c>
    </row>
    <row r="33" spans="3:33" ht="17.25">
      <c r="C33" s="2"/>
      <c r="D33" s="18"/>
      <c r="E33" s="18"/>
      <c r="F33" s="18"/>
      <c r="G33" s="18"/>
      <c r="H33" s="18"/>
      <c r="I33" s="18"/>
      <c r="J33">
        <f t="shared" si="44"/>
        <v>0</v>
      </c>
      <c r="K33">
        <f t="shared" si="45"/>
        <v>0</v>
      </c>
      <c r="L33" s="75"/>
      <c r="M33" s="75"/>
      <c r="N33" s="23">
        <f t="shared" si="46"/>
        <v>31</v>
      </c>
      <c r="O33" s="23">
        <f t="shared" si="47"/>
        <v>3</v>
      </c>
      <c r="P33" s="23">
        <f t="shared" si="48"/>
        <v>-1.08</v>
      </c>
      <c r="Q33" s="23">
        <f t="shared" si="49"/>
        <v>0</v>
      </c>
      <c r="R33" s="23">
        <f t="shared" si="50"/>
        <v>0</v>
      </c>
      <c r="S33" s="23">
        <f t="shared" si="51"/>
        <v>6335439.327202763</v>
      </c>
      <c r="T33" s="23">
        <f t="shared" si="52"/>
        <v>6378137</v>
      </c>
      <c r="V33" s="23">
        <f t="shared" si="53"/>
        <v>0</v>
      </c>
      <c r="X33" s="23">
        <f t="shared" si="54"/>
        <v>0</v>
      </c>
      <c r="Y33" s="23">
        <f t="shared" si="55"/>
        <v>0</v>
      </c>
      <c r="Z33" s="23">
        <f t="shared" si="56"/>
        <v>0</v>
      </c>
      <c r="AA33" s="23">
        <f t="shared" si="57"/>
        <v>309097.11943598965</v>
      </c>
      <c r="AB33" s="23">
        <f t="shared" si="58"/>
        <v>121.90192067388125</v>
      </c>
      <c r="AC33" s="23">
        <f t="shared" si="59"/>
        <v>0</v>
      </c>
      <c r="AD33" s="23">
        <f t="shared" si="60"/>
        <v>0</v>
      </c>
      <c r="AE33" s="10">
        <f t="shared" si="61"/>
        <v>0</v>
      </c>
      <c r="AF33" s="10">
        <f t="shared" si="62"/>
        <v>166021.54969683522</v>
      </c>
      <c r="AG33" s="10">
        <f t="shared" si="63"/>
        <v>31</v>
      </c>
    </row>
    <row r="34" spans="3:33" ht="17.25">
      <c r="C34" s="2"/>
      <c r="D34" s="18"/>
      <c r="E34" s="18"/>
      <c r="F34" s="18"/>
      <c r="G34" s="18"/>
      <c r="H34" s="18"/>
      <c r="I34" s="18"/>
      <c r="J34">
        <f t="shared" si="44"/>
        <v>0</v>
      </c>
      <c r="K34">
        <f t="shared" si="45"/>
        <v>0</v>
      </c>
      <c r="L34" s="75"/>
      <c r="M34" s="75"/>
      <c r="N34" s="23">
        <f t="shared" si="46"/>
        <v>31</v>
      </c>
      <c r="O34" s="23">
        <f t="shared" si="47"/>
        <v>3</v>
      </c>
      <c r="P34" s="23">
        <f t="shared" si="48"/>
        <v>-1.08</v>
      </c>
      <c r="Q34" s="23">
        <f t="shared" si="49"/>
        <v>0</v>
      </c>
      <c r="R34" s="23">
        <f t="shared" si="50"/>
        <v>0</v>
      </c>
      <c r="S34" s="23">
        <f t="shared" si="51"/>
        <v>6335439.327202763</v>
      </c>
      <c r="T34" s="23">
        <f t="shared" si="52"/>
        <v>6378137</v>
      </c>
      <c r="V34" s="23">
        <f t="shared" si="53"/>
        <v>0</v>
      </c>
      <c r="X34" s="23">
        <f t="shared" si="54"/>
        <v>0</v>
      </c>
      <c r="Y34" s="23">
        <f t="shared" si="55"/>
        <v>0</v>
      </c>
      <c r="Z34" s="23">
        <f t="shared" si="56"/>
        <v>0</v>
      </c>
      <c r="AA34" s="23">
        <f t="shared" si="57"/>
        <v>309097.11943598965</v>
      </c>
      <c r="AB34" s="23">
        <f t="shared" si="58"/>
        <v>121.90192067388125</v>
      </c>
      <c r="AC34" s="23">
        <f t="shared" si="59"/>
        <v>0</v>
      </c>
      <c r="AD34" s="23">
        <f t="shared" si="60"/>
        <v>0</v>
      </c>
      <c r="AE34" s="10">
        <f t="shared" si="61"/>
        <v>0</v>
      </c>
      <c r="AF34" s="10">
        <f t="shared" si="62"/>
        <v>166021.54969683522</v>
      </c>
      <c r="AG34" s="10">
        <f t="shared" si="63"/>
        <v>31</v>
      </c>
    </row>
    <row r="35" spans="3:33" ht="17.25">
      <c r="C35" s="2"/>
      <c r="D35" s="18"/>
      <c r="E35" s="18"/>
      <c r="F35" s="18"/>
      <c r="G35" s="18"/>
      <c r="H35" s="18"/>
      <c r="I35" s="18"/>
      <c r="J35">
        <f t="shared" si="44"/>
        <v>0</v>
      </c>
      <c r="K35">
        <f t="shared" si="45"/>
        <v>0</v>
      </c>
      <c r="L35" s="75"/>
      <c r="M35" s="75"/>
      <c r="N35" s="23">
        <f t="shared" si="46"/>
        <v>31</v>
      </c>
      <c r="O35" s="23">
        <f t="shared" si="47"/>
        <v>3</v>
      </c>
      <c r="P35" s="23">
        <f t="shared" si="48"/>
        <v>-1.08</v>
      </c>
      <c r="Q35" s="23">
        <f t="shared" si="49"/>
        <v>0</v>
      </c>
      <c r="R35" s="23">
        <f t="shared" si="50"/>
        <v>0</v>
      </c>
      <c r="S35" s="23">
        <f t="shared" si="51"/>
        <v>6335439.327202763</v>
      </c>
      <c r="T35" s="23">
        <f t="shared" si="52"/>
        <v>6378137</v>
      </c>
      <c r="V35" s="23">
        <f t="shared" si="53"/>
        <v>0</v>
      </c>
      <c r="X35" s="23">
        <f t="shared" si="54"/>
        <v>0</v>
      </c>
      <c r="Y35" s="23">
        <f t="shared" si="55"/>
        <v>0</v>
      </c>
      <c r="Z35" s="23">
        <f t="shared" si="56"/>
        <v>0</v>
      </c>
      <c r="AA35" s="23">
        <f t="shared" si="57"/>
        <v>309097.11943598965</v>
      </c>
      <c r="AB35" s="23">
        <f t="shared" si="58"/>
        <v>121.90192067388125</v>
      </c>
      <c r="AC35" s="23">
        <f t="shared" si="59"/>
        <v>0</v>
      </c>
      <c r="AD35" s="23">
        <f t="shared" si="60"/>
        <v>0</v>
      </c>
      <c r="AE35" s="10">
        <f t="shared" si="61"/>
        <v>0</v>
      </c>
      <c r="AF35" s="10">
        <f t="shared" si="62"/>
        <v>166021.54969683522</v>
      </c>
      <c r="AG35" s="10">
        <f t="shared" si="63"/>
        <v>31</v>
      </c>
    </row>
    <row r="36" spans="3:33" ht="17.25">
      <c r="C36" s="2"/>
      <c r="D36" s="18"/>
      <c r="E36" s="18"/>
      <c r="F36" s="18"/>
      <c r="G36" s="18"/>
      <c r="H36" s="18"/>
      <c r="I36" s="18"/>
      <c r="J36">
        <f t="shared" si="44"/>
        <v>0</v>
      </c>
      <c r="K36">
        <f t="shared" si="45"/>
        <v>0</v>
      </c>
      <c r="L36" s="75"/>
      <c r="M36" s="75"/>
      <c r="N36" s="23">
        <f t="shared" si="46"/>
        <v>31</v>
      </c>
      <c r="O36" s="23">
        <f t="shared" si="47"/>
        <v>3</v>
      </c>
      <c r="P36" s="23">
        <f t="shared" si="48"/>
        <v>-1.08</v>
      </c>
      <c r="Q36" s="23">
        <f t="shared" si="49"/>
        <v>0</v>
      </c>
      <c r="R36" s="23">
        <f t="shared" si="50"/>
        <v>0</v>
      </c>
      <c r="S36" s="23">
        <f t="shared" si="51"/>
        <v>6335439.327202763</v>
      </c>
      <c r="T36" s="23">
        <f t="shared" si="52"/>
        <v>6378137</v>
      </c>
      <c r="V36" s="23">
        <f t="shared" si="53"/>
        <v>0</v>
      </c>
      <c r="X36" s="23">
        <f t="shared" si="54"/>
        <v>0</v>
      </c>
      <c r="Y36" s="23">
        <f t="shared" si="55"/>
        <v>0</v>
      </c>
      <c r="Z36" s="23">
        <f t="shared" si="56"/>
        <v>0</v>
      </c>
      <c r="AA36" s="23">
        <f t="shared" si="57"/>
        <v>309097.11943598965</v>
      </c>
      <c r="AB36" s="23">
        <f t="shared" si="58"/>
        <v>121.90192067388125</v>
      </c>
      <c r="AC36" s="23">
        <f t="shared" si="59"/>
        <v>0</v>
      </c>
      <c r="AD36" s="23">
        <f t="shared" si="60"/>
        <v>0</v>
      </c>
      <c r="AE36" s="10">
        <f t="shared" si="61"/>
        <v>0</v>
      </c>
      <c r="AF36" s="10">
        <f t="shared" si="62"/>
        <v>166021.54969683522</v>
      </c>
      <c r="AG36" s="10">
        <f t="shared" si="63"/>
        <v>31</v>
      </c>
    </row>
    <row r="37" spans="3:33" ht="17.25">
      <c r="C37" s="2"/>
      <c r="D37" s="18"/>
      <c r="E37" s="18"/>
      <c r="F37" s="18"/>
      <c r="G37" s="18"/>
      <c r="H37" s="18"/>
      <c r="I37" s="18"/>
      <c r="J37">
        <f t="shared" si="44"/>
        <v>0</v>
      </c>
      <c r="K37">
        <f t="shared" si="45"/>
        <v>0</v>
      </c>
      <c r="L37" s="75"/>
      <c r="M37" s="75"/>
      <c r="N37" s="23">
        <f t="shared" si="46"/>
        <v>31</v>
      </c>
      <c r="O37" s="23">
        <f t="shared" si="47"/>
        <v>3</v>
      </c>
      <c r="P37" s="23">
        <f t="shared" si="48"/>
        <v>-1.08</v>
      </c>
      <c r="Q37" s="23">
        <f t="shared" si="49"/>
        <v>0</v>
      </c>
      <c r="R37" s="23">
        <f t="shared" si="50"/>
        <v>0</v>
      </c>
      <c r="S37" s="23">
        <f t="shared" si="51"/>
        <v>6335439.327202763</v>
      </c>
      <c r="T37" s="23">
        <f t="shared" si="52"/>
        <v>6378137</v>
      </c>
      <c r="V37" s="23">
        <f t="shared" si="53"/>
        <v>0</v>
      </c>
      <c r="X37" s="23">
        <f t="shared" si="54"/>
        <v>0</v>
      </c>
      <c r="Y37" s="23">
        <f t="shared" si="55"/>
        <v>0</v>
      </c>
      <c r="Z37" s="23">
        <f t="shared" si="56"/>
        <v>0</v>
      </c>
      <c r="AA37" s="23">
        <f t="shared" si="57"/>
        <v>309097.11943598965</v>
      </c>
      <c r="AB37" s="23">
        <f t="shared" si="58"/>
        <v>121.90192067388125</v>
      </c>
      <c r="AC37" s="23">
        <f t="shared" si="59"/>
        <v>0</v>
      </c>
      <c r="AD37" s="23">
        <f t="shared" si="60"/>
        <v>0</v>
      </c>
      <c r="AE37" s="10">
        <f t="shared" si="61"/>
        <v>0</v>
      </c>
      <c r="AF37" s="10">
        <f t="shared" si="62"/>
        <v>166021.54969683522</v>
      </c>
      <c r="AG37" s="10">
        <f t="shared" si="63"/>
        <v>31</v>
      </c>
    </row>
    <row r="38" spans="3:33" ht="17.25">
      <c r="C38" s="2"/>
      <c r="D38" s="18"/>
      <c r="E38" s="18"/>
      <c r="F38" s="18"/>
      <c r="G38" s="18"/>
      <c r="H38" s="18"/>
      <c r="I38" s="18"/>
      <c r="J38">
        <f t="shared" si="44"/>
        <v>0</v>
      </c>
      <c r="K38">
        <f t="shared" si="45"/>
        <v>0</v>
      </c>
      <c r="L38" s="75"/>
      <c r="M38" s="75"/>
      <c r="N38" s="23">
        <f t="shared" si="46"/>
        <v>31</v>
      </c>
      <c r="O38" s="23">
        <f t="shared" si="47"/>
        <v>3</v>
      </c>
      <c r="P38" s="23">
        <f t="shared" si="48"/>
        <v>-1.08</v>
      </c>
      <c r="Q38" s="23">
        <f t="shared" si="49"/>
        <v>0</v>
      </c>
      <c r="R38" s="23">
        <f t="shared" si="50"/>
        <v>0</v>
      </c>
      <c r="S38" s="23">
        <f t="shared" si="51"/>
        <v>6335439.327202763</v>
      </c>
      <c r="T38" s="23">
        <f t="shared" si="52"/>
        <v>6378137</v>
      </c>
      <c r="V38" s="23">
        <f t="shared" si="53"/>
        <v>0</v>
      </c>
      <c r="X38" s="23">
        <f t="shared" si="54"/>
        <v>0</v>
      </c>
      <c r="Y38" s="23">
        <f t="shared" si="55"/>
        <v>0</v>
      </c>
      <c r="Z38" s="23">
        <f t="shared" si="56"/>
        <v>0</v>
      </c>
      <c r="AA38" s="23">
        <f t="shared" si="57"/>
        <v>309097.11943598965</v>
      </c>
      <c r="AB38" s="23">
        <f t="shared" si="58"/>
        <v>121.90192067388125</v>
      </c>
      <c r="AC38" s="23">
        <f t="shared" si="59"/>
        <v>0</v>
      </c>
      <c r="AD38" s="23">
        <f t="shared" si="60"/>
        <v>0</v>
      </c>
      <c r="AE38" s="10">
        <f t="shared" si="61"/>
        <v>0</v>
      </c>
      <c r="AF38" s="10">
        <f t="shared" si="62"/>
        <v>166021.54969683522</v>
      </c>
      <c r="AG38" s="10">
        <f t="shared" si="63"/>
        <v>31</v>
      </c>
    </row>
    <row r="39" spans="3:33" ht="17.25">
      <c r="C39" s="2"/>
      <c r="D39" s="18"/>
      <c r="E39" s="18"/>
      <c r="F39" s="18"/>
      <c r="G39" s="18"/>
      <c r="H39" s="18"/>
      <c r="I39" s="18"/>
      <c r="J39">
        <f t="shared" si="44"/>
        <v>0</v>
      </c>
      <c r="K39">
        <f t="shared" si="45"/>
        <v>0</v>
      </c>
      <c r="L39" s="75"/>
      <c r="M39" s="75"/>
      <c r="N39" s="23">
        <f t="shared" si="46"/>
        <v>31</v>
      </c>
      <c r="O39" s="23">
        <f t="shared" si="47"/>
        <v>3</v>
      </c>
      <c r="P39" s="23">
        <f t="shared" si="48"/>
        <v>-1.08</v>
      </c>
      <c r="Q39" s="23">
        <f t="shared" si="49"/>
        <v>0</v>
      </c>
      <c r="R39" s="23">
        <f t="shared" si="50"/>
        <v>0</v>
      </c>
      <c r="S39" s="23">
        <f t="shared" si="51"/>
        <v>6335439.327202763</v>
      </c>
      <c r="T39" s="23">
        <f t="shared" si="52"/>
        <v>6378137</v>
      </c>
      <c r="V39" s="23">
        <f t="shared" si="53"/>
        <v>0</v>
      </c>
      <c r="X39" s="23">
        <f t="shared" si="54"/>
        <v>0</v>
      </c>
      <c r="Y39" s="23">
        <f t="shared" si="55"/>
        <v>0</v>
      </c>
      <c r="Z39" s="23">
        <f t="shared" si="56"/>
        <v>0</v>
      </c>
      <c r="AA39" s="23">
        <f t="shared" si="57"/>
        <v>309097.11943598965</v>
      </c>
      <c r="AB39" s="23">
        <f t="shared" si="58"/>
        <v>121.90192067388125</v>
      </c>
      <c r="AC39" s="23">
        <f t="shared" si="59"/>
        <v>0</v>
      </c>
      <c r="AD39" s="23">
        <f t="shared" si="60"/>
        <v>0</v>
      </c>
      <c r="AE39" s="10">
        <f t="shared" si="61"/>
        <v>0</v>
      </c>
      <c r="AF39" s="10">
        <f t="shared" si="62"/>
        <v>166021.54969683522</v>
      </c>
      <c r="AG39" s="10">
        <f t="shared" si="63"/>
        <v>31</v>
      </c>
    </row>
    <row r="40" spans="3:33" ht="17.25">
      <c r="C40" s="2"/>
      <c r="D40" s="18"/>
      <c r="E40" s="18"/>
      <c r="F40" s="18"/>
      <c r="G40" s="18"/>
      <c r="H40" s="18"/>
      <c r="I40" s="18"/>
      <c r="J40">
        <f t="shared" si="44"/>
        <v>0</v>
      </c>
      <c r="K40">
        <f t="shared" si="45"/>
        <v>0</v>
      </c>
      <c r="L40" s="75"/>
      <c r="M40" s="75"/>
      <c r="N40" s="23">
        <f t="shared" si="46"/>
        <v>31</v>
      </c>
      <c r="O40" s="23">
        <f t="shared" si="47"/>
        <v>3</v>
      </c>
      <c r="P40" s="23">
        <f t="shared" si="48"/>
        <v>-1.08</v>
      </c>
      <c r="Q40" s="23">
        <f t="shared" si="49"/>
        <v>0</v>
      </c>
      <c r="R40" s="23">
        <f t="shared" si="50"/>
        <v>0</v>
      </c>
      <c r="S40" s="23">
        <f t="shared" si="51"/>
        <v>6335439.327202763</v>
      </c>
      <c r="T40" s="23">
        <f t="shared" si="52"/>
        <v>6378137</v>
      </c>
      <c r="V40" s="23">
        <f t="shared" si="53"/>
        <v>0</v>
      </c>
      <c r="X40" s="23">
        <f t="shared" si="54"/>
        <v>0</v>
      </c>
      <c r="Y40" s="23">
        <f t="shared" si="55"/>
        <v>0</v>
      </c>
      <c r="Z40" s="23">
        <f t="shared" si="56"/>
        <v>0</v>
      </c>
      <c r="AA40" s="23">
        <f t="shared" si="57"/>
        <v>309097.11943598965</v>
      </c>
      <c r="AB40" s="23">
        <f t="shared" si="58"/>
        <v>121.90192067388125</v>
      </c>
      <c r="AC40" s="23">
        <f t="shared" si="59"/>
        <v>0</v>
      </c>
      <c r="AD40" s="23">
        <f t="shared" si="60"/>
        <v>0</v>
      </c>
      <c r="AE40" s="10">
        <f t="shared" si="61"/>
        <v>0</v>
      </c>
      <c r="AF40" s="10">
        <f t="shared" si="62"/>
        <v>166021.54969683522</v>
      </c>
      <c r="AG40" s="10">
        <f t="shared" si="63"/>
        <v>31</v>
      </c>
    </row>
    <row r="41" spans="3:33" ht="17.25">
      <c r="C41" s="2"/>
      <c r="D41" s="18"/>
      <c r="E41" s="18"/>
      <c r="F41" s="18"/>
      <c r="G41" s="18"/>
      <c r="H41" s="18"/>
      <c r="I41" s="18"/>
      <c r="J41">
        <f t="shared" si="44"/>
        <v>0</v>
      </c>
      <c r="K41">
        <f t="shared" si="45"/>
        <v>0</v>
      </c>
      <c r="L41" s="75"/>
      <c r="M41" s="75"/>
      <c r="N41" s="23">
        <f t="shared" si="46"/>
        <v>31</v>
      </c>
      <c r="O41" s="23">
        <f t="shared" si="47"/>
        <v>3</v>
      </c>
      <c r="P41" s="23">
        <f t="shared" si="48"/>
        <v>-1.08</v>
      </c>
      <c r="Q41" s="23">
        <f t="shared" si="49"/>
        <v>0</v>
      </c>
      <c r="R41" s="23">
        <f t="shared" si="50"/>
        <v>0</v>
      </c>
      <c r="S41" s="23">
        <f t="shared" si="51"/>
        <v>6335439.327202763</v>
      </c>
      <c r="T41" s="23">
        <f t="shared" si="52"/>
        <v>6378137</v>
      </c>
      <c r="V41" s="23">
        <f t="shared" si="53"/>
        <v>0</v>
      </c>
      <c r="X41" s="23">
        <f t="shared" si="54"/>
        <v>0</v>
      </c>
      <c r="Y41" s="23">
        <f t="shared" si="55"/>
        <v>0</v>
      </c>
      <c r="Z41" s="23">
        <f t="shared" si="56"/>
        <v>0</v>
      </c>
      <c r="AA41" s="23">
        <f t="shared" si="57"/>
        <v>309097.11943598965</v>
      </c>
      <c r="AB41" s="23">
        <f t="shared" si="58"/>
        <v>121.90192067388125</v>
      </c>
      <c r="AC41" s="23">
        <f t="shared" si="59"/>
        <v>0</v>
      </c>
      <c r="AD41" s="23">
        <f t="shared" si="60"/>
        <v>0</v>
      </c>
      <c r="AE41" s="10">
        <f t="shared" si="61"/>
        <v>0</v>
      </c>
      <c r="AF41" s="10">
        <f t="shared" si="62"/>
        <v>166021.54969683522</v>
      </c>
      <c r="AG41" s="10">
        <f t="shared" si="63"/>
        <v>31</v>
      </c>
    </row>
    <row r="42" spans="3:33" ht="17.25">
      <c r="C42" s="2"/>
      <c r="D42" s="18"/>
      <c r="E42" s="18"/>
      <c r="F42" s="18"/>
      <c r="G42" s="18"/>
      <c r="H42" s="18"/>
      <c r="I42" s="18"/>
      <c r="J42">
        <f t="shared" si="44"/>
        <v>0</v>
      </c>
      <c r="K42">
        <f t="shared" si="45"/>
        <v>0</v>
      </c>
      <c r="L42" s="75"/>
      <c r="M42" s="75"/>
      <c r="N42" s="23">
        <f t="shared" si="46"/>
        <v>31</v>
      </c>
      <c r="O42" s="23">
        <f t="shared" si="47"/>
        <v>3</v>
      </c>
      <c r="P42" s="23">
        <f t="shared" si="48"/>
        <v>-1.08</v>
      </c>
      <c r="Q42" s="23">
        <f t="shared" si="49"/>
        <v>0</v>
      </c>
      <c r="R42" s="23">
        <f t="shared" si="50"/>
        <v>0</v>
      </c>
      <c r="S42" s="23">
        <f t="shared" si="51"/>
        <v>6335439.327202763</v>
      </c>
      <c r="T42" s="23">
        <f t="shared" si="52"/>
        <v>6378137</v>
      </c>
      <c r="V42" s="23">
        <f t="shared" si="53"/>
        <v>0</v>
      </c>
      <c r="X42" s="23">
        <f t="shared" si="54"/>
        <v>0</v>
      </c>
      <c r="Y42" s="23">
        <f t="shared" si="55"/>
        <v>0</v>
      </c>
      <c r="Z42" s="23">
        <f t="shared" si="56"/>
        <v>0</v>
      </c>
      <c r="AA42" s="23">
        <f t="shared" si="57"/>
        <v>309097.11943598965</v>
      </c>
      <c r="AB42" s="23">
        <f t="shared" si="58"/>
        <v>121.90192067388125</v>
      </c>
      <c r="AC42" s="23">
        <f t="shared" si="59"/>
        <v>0</v>
      </c>
      <c r="AD42" s="23">
        <f t="shared" si="60"/>
        <v>0</v>
      </c>
      <c r="AE42" s="10">
        <f t="shared" si="61"/>
        <v>0</v>
      </c>
      <c r="AF42" s="10">
        <f t="shared" si="62"/>
        <v>166021.54969683522</v>
      </c>
      <c r="AG42" s="10">
        <f t="shared" si="63"/>
        <v>31</v>
      </c>
    </row>
    <row r="43" spans="3:33" ht="17.25">
      <c r="C43" s="2"/>
      <c r="D43" s="18"/>
      <c r="E43" s="18"/>
      <c r="F43" s="18"/>
      <c r="G43" s="18"/>
      <c r="H43" s="18"/>
      <c r="I43" s="18"/>
      <c r="J43">
        <f t="shared" si="44"/>
        <v>0</v>
      </c>
      <c r="K43">
        <f t="shared" si="45"/>
        <v>0</v>
      </c>
      <c r="L43" s="75"/>
      <c r="M43" s="75"/>
      <c r="N43" s="23">
        <f t="shared" si="46"/>
        <v>31</v>
      </c>
      <c r="O43" s="23">
        <f t="shared" si="47"/>
        <v>3</v>
      </c>
      <c r="P43" s="23">
        <f t="shared" si="48"/>
        <v>-1.08</v>
      </c>
      <c r="Q43" s="23">
        <f t="shared" si="49"/>
        <v>0</v>
      </c>
      <c r="R43" s="23">
        <f t="shared" si="50"/>
        <v>0</v>
      </c>
      <c r="S43" s="23">
        <f t="shared" si="51"/>
        <v>6335439.327202763</v>
      </c>
      <c r="T43" s="23">
        <f t="shared" si="52"/>
        <v>6378137</v>
      </c>
      <c r="V43" s="23">
        <f t="shared" si="53"/>
        <v>0</v>
      </c>
      <c r="X43" s="23">
        <f t="shared" si="54"/>
        <v>0</v>
      </c>
      <c r="Y43" s="23">
        <f t="shared" si="55"/>
        <v>0</v>
      </c>
      <c r="Z43" s="23">
        <f t="shared" si="56"/>
        <v>0</v>
      </c>
      <c r="AA43" s="23">
        <f t="shared" si="57"/>
        <v>309097.11943598965</v>
      </c>
      <c r="AB43" s="23">
        <f t="shared" si="58"/>
        <v>121.90192067388125</v>
      </c>
      <c r="AC43" s="23">
        <f t="shared" si="59"/>
        <v>0</v>
      </c>
      <c r="AD43" s="23">
        <f t="shared" si="60"/>
        <v>0</v>
      </c>
      <c r="AE43" s="10">
        <f t="shared" si="61"/>
        <v>0</v>
      </c>
      <c r="AF43" s="10">
        <f t="shared" si="62"/>
        <v>166021.54969683522</v>
      </c>
      <c r="AG43" s="10">
        <f t="shared" si="63"/>
        <v>31</v>
      </c>
    </row>
    <row r="44" spans="3:33" ht="17.25">
      <c r="C44" s="2"/>
      <c r="D44" s="18"/>
      <c r="E44" s="18"/>
      <c r="F44" s="18"/>
      <c r="G44" s="18"/>
      <c r="H44" s="18"/>
      <c r="I44" s="18"/>
      <c r="J44">
        <f t="shared" si="44"/>
        <v>0</v>
      </c>
      <c r="K44">
        <f t="shared" si="45"/>
        <v>0</v>
      </c>
      <c r="L44" s="75"/>
      <c r="M44" s="75"/>
      <c r="N44" s="23">
        <f t="shared" si="46"/>
        <v>31</v>
      </c>
      <c r="O44" s="23">
        <f t="shared" si="47"/>
        <v>3</v>
      </c>
      <c r="P44" s="23">
        <f t="shared" si="48"/>
        <v>-1.08</v>
      </c>
      <c r="Q44" s="23">
        <f t="shared" si="49"/>
        <v>0</v>
      </c>
      <c r="R44" s="23">
        <f t="shared" si="50"/>
        <v>0</v>
      </c>
      <c r="S44" s="23">
        <f t="shared" si="51"/>
        <v>6335439.327202763</v>
      </c>
      <c r="T44" s="23">
        <f t="shared" si="52"/>
        <v>6378137</v>
      </c>
      <c r="V44" s="23">
        <f t="shared" si="53"/>
        <v>0</v>
      </c>
      <c r="X44" s="23">
        <f t="shared" si="54"/>
        <v>0</v>
      </c>
      <c r="Y44" s="23">
        <f t="shared" si="55"/>
        <v>0</v>
      </c>
      <c r="Z44" s="23">
        <f t="shared" si="56"/>
        <v>0</v>
      </c>
      <c r="AA44" s="23">
        <f t="shared" si="57"/>
        <v>309097.11943598965</v>
      </c>
      <c r="AB44" s="23">
        <f t="shared" si="58"/>
        <v>121.90192067388125</v>
      </c>
      <c r="AC44" s="23">
        <f t="shared" si="59"/>
        <v>0</v>
      </c>
      <c r="AD44" s="23">
        <f t="shared" si="60"/>
        <v>0</v>
      </c>
      <c r="AE44" s="10">
        <f t="shared" si="61"/>
        <v>0</v>
      </c>
      <c r="AF44" s="10">
        <f t="shared" si="62"/>
        <v>166021.54969683522</v>
      </c>
      <c r="AG44" s="10">
        <f t="shared" si="63"/>
        <v>31</v>
      </c>
    </row>
    <row r="45" spans="3:33" ht="17.25">
      <c r="C45" s="2"/>
      <c r="D45" s="18"/>
      <c r="E45" s="18"/>
      <c r="F45" s="18"/>
      <c r="G45" s="18"/>
      <c r="H45" s="18"/>
      <c r="I45" s="18"/>
      <c r="J45">
        <f t="shared" si="44"/>
        <v>0</v>
      </c>
      <c r="K45">
        <f t="shared" si="45"/>
        <v>0</v>
      </c>
      <c r="L45" s="75"/>
      <c r="M45" s="75"/>
      <c r="N45" s="23">
        <f t="shared" si="46"/>
        <v>31</v>
      </c>
      <c r="O45" s="23">
        <f t="shared" si="47"/>
        <v>3</v>
      </c>
      <c r="P45" s="23">
        <f t="shared" si="48"/>
        <v>-1.08</v>
      </c>
      <c r="Q45" s="23">
        <f t="shared" si="49"/>
        <v>0</v>
      </c>
      <c r="R45" s="23">
        <f t="shared" si="50"/>
        <v>0</v>
      </c>
      <c r="S45" s="23">
        <f t="shared" si="51"/>
        <v>6335439.327202763</v>
      </c>
      <c r="T45" s="23">
        <f t="shared" si="52"/>
        <v>6378137</v>
      </c>
      <c r="V45" s="23">
        <f t="shared" si="53"/>
        <v>0</v>
      </c>
      <c r="X45" s="23">
        <f t="shared" si="54"/>
        <v>0</v>
      </c>
      <c r="Y45" s="23">
        <f t="shared" si="55"/>
        <v>0</v>
      </c>
      <c r="Z45" s="23">
        <f t="shared" si="56"/>
        <v>0</v>
      </c>
      <c r="AA45" s="23">
        <f t="shared" si="57"/>
        <v>309097.11943598965</v>
      </c>
      <c r="AB45" s="23">
        <f t="shared" si="58"/>
        <v>121.90192067388125</v>
      </c>
      <c r="AC45" s="23">
        <f t="shared" si="59"/>
        <v>0</v>
      </c>
      <c r="AD45" s="23">
        <f t="shared" si="60"/>
        <v>0</v>
      </c>
      <c r="AE45" s="10">
        <f t="shared" si="61"/>
        <v>0</v>
      </c>
      <c r="AF45" s="10">
        <f t="shared" si="62"/>
        <v>166021.54969683522</v>
      </c>
      <c r="AG45" s="10">
        <f t="shared" si="63"/>
        <v>31</v>
      </c>
    </row>
    <row r="46" spans="3:33" ht="17.25">
      <c r="C46" s="2"/>
      <c r="D46" s="18"/>
      <c r="E46" s="18"/>
      <c r="F46" s="18"/>
      <c r="G46" s="18"/>
      <c r="H46" s="18"/>
      <c r="I46" s="18"/>
      <c r="J46">
        <f t="shared" si="44"/>
        <v>0</v>
      </c>
      <c r="K46">
        <f t="shared" si="45"/>
        <v>0</v>
      </c>
      <c r="L46" s="75"/>
      <c r="M46" s="75"/>
      <c r="N46" s="23">
        <f t="shared" si="46"/>
        <v>31</v>
      </c>
      <c r="O46" s="23">
        <f t="shared" si="47"/>
        <v>3</v>
      </c>
      <c r="P46" s="23">
        <f t="shared" si="48"/>
        <v>-1.08</v>
      </c>
      <c r="Q46" s="23">
        <f t="shared" si="49"/>
        <v>0</v>
      </c>
      <c r="R46" s="23">
        <f t="shared" si="50"/>
        <v>0</v>
      </c>
      <c r="S46" s="23">
        <f t="shared" si="51"/>
        <v>6335439.327202763</v>
      </c>
      <c r="T46" s="23">
        <f t="shared" si="52"/>
        <v>6378137</v>
      </c>
      <c r="V46" s="23">
        <f t="shared" si="53"/>
        <v>0</v>
      </c>
      <c r="X46" s="23">
        <f t="shared" si="54"/>
        <v>0</v>
      </c>
      <c r="Y46" s="23">
        <f t="shared" si="55"/>
        <v>0</v>
      </c>
      <c r="Z46" s="23">
        <f t="shared" si="56"/>
        <v>0</v>
      </c>
      <c r="AA46" s="23">
        <f t="shared" si="57"/>
        <v>309097.11943598965</v>
      </c>
      <c r="AB46" s="23">
        <f t="shared" si="58"/>
        <v>121.90192067388125</v>
      </c>
      <c r="AC46" s="23">
        <f t="shared" si="59"/>
        <v>0</v>
      </c>
      <c r="AD46" s="23">
        <f t="shared" si="60"/>
        <v>0</v>
      </c>
      <c r="AE46" s="10">
        <f t="shared" si="61"/>
        <v>0</v>
      </c>
      <c r="AF46" s="10">
        <f t="shared" si="62"/>
        <v>166021.54969683522</v>
      </c>
      <c r="AG46" s="10">
        <f t="shared" si="63"/>
        <v>31</v>
      </c>
    </row>
    <row r="47" spans="3:33" ht="17.25">
      <c r="C47" s="2"/>
      <c r="D47" s="18"/>
      <c r="E47" s="18"/>
      <c r="F47" s="18"/>
      <c r="G47" s="18"/>
      <c r="H47" s="18"/>
      <c r="I47" s="18"/>
      <c r="J47">
        <f t="shared" si="44"/>
        <v>0</v>
      </c>
      <c r="K47">
        <f t="shared" si="45"/>
        <v>0</v>
      </c>
      <c r="L47" s="75"/>
      <c r="M47" s="75"/>
      <c r="N47" s="23">
        <f t="shared" si="46"/>
        <v>31</v>
      </c>
      <c r="O47" s="23">
        <f t="shared" si="47"/>
        <v>3</v>
      </c>
      <c r="P47" s="23">
        <f t="shared" si="48"/>
        <v>-1.08</v>
      </c>
      <c r="Q47" s="23">
        <f t="shared" si="49"/>
        <v>0</v>
      </c>
      <c r="R47" s="23">
        <f t="shared" si="50"/>
        <v>0</v>
      </c>
      <c r="S47" s="23">
        <f t="shared" si="51"/>
        <v>6335439.327202763</v>
      </c>
      <c r="T47" s="23">
        <f t="shared" si="52"/>
        <v>6378137</v>
      </c>
      <c r="V47" s="23">
        <f t="shared" si="53"/>
        <v>0</v>
      </c>
      <c r="X47" s="23">
        <f t="shared" si="54"/>
        <v>0</v>
      </c>
      <c r="Y47" s="23">
        <f t="shared" si="55"/>
        <v>0</v>
      </c>
      <c r="Z47" s="23">
        <f t="shared" si="56"/>
        <v>0</v>
      </c>
      <c r="AA47" s="23">
        <f t="shared" si="57"/>
        <v>309097.11943598965</v>
      </c>
      <c r="AB47" s="23">
        <f t="shared" si="58"/>
        <v>121.90192067388125</v>
      </c>
      <c r="AC47" s="23">
        <f t="shared" si="59"/>
        <v>0</v>
      </c>
      <c r="AD47" s="23">
        <f t="shared" si="60"/>
        <v>0</v>
      </c>
      <c r="AE47" s="10">
        <f t="shared" si="61"/>
        <v>0</v>
      </c>
      <c r="AF47" s="10">
        <f t="shared" si="62"/>
        <v>166021.54969683522</v>
      </c>
      <c r="AG47" s="10">
        <f t="shared" si="63"/>
        <v>31</v>
      </c>
    </row>
    <row r="48" spans="3:33" ht="17.25">
      <c r="C48" s="2"/>
      <c r="D48" s="18"/>
      <c r="E48" s="18"/>
      <c r="F48" s="18"/>
      <c r="G48" s="18"/>
      <c r="H48" s="18"/>
      <c r="I48" s="18"/>
      <c r="J48">
        <f t="shared" si="44"/>
        <v>0</v>
      </c>
      <c r="K48">
        <f t="shared" si="45"/>
        <v>0</v>
      </c>
      <c r="L48" s="75"/>
      <c r="M48" s="75"/>
      <c r="N48" s="23">
        <f t="shared" si="46"/>
        <v>31</v>
      </c>
      <c r="O48" s="23">
        <f t="shared" si="47"/>
        <v>3</v>
      </c>
      <c r="P48" s="23">
        <f t="shared" si="48"/>
        <v>-1.08</v>
      </c>
      <c r="Q48" s="23">
        <f t="shared" si="49"/>
        <v>0</v>
      </c>
      <c r="R48" s="23">
        <f t="shared" si="50"/>
        <v>0</v>
      </c>
      <c r="S48" s="23">
        <f t="shared" si="51"/>
        <v>6335439.327202763</v>
      </c>
      <c r="T48" s="23">
        <f t="shared" si="52"/>
        <v>6378137</v>
      </c>
      <c r="V48" s="23">
        <f t="shared" si="53"/>
        <v>0</v>
      </c>
      <c r="X48" s="23">
        <f t="shared" si="54"/>
        <v>0</v>
      </c>
      <c r="Y48" s="23">
        <f t="shared" si="55"/>
        <v>0</v>
      </c>
      <c r="Z48" s="23">
        <f t="shared" si="56"/>
        <v>0</v>
      </c>
      <c r="AA48" s="23">
        <f t="shared" si="57"/>
        <v>309097.11943598965</v>
      </c>
      <c r="AB48" s="23">
        <f t="shared" si="58"/>
        <v>121.90192067388125</v>
      </c>
      <c r="AC48" s="23">
        <f t="shared" si="59"/>
        <v>0</v>
      </c>
      <c r="AD48" s="23">
        <f t="shared" si="60"/>
        <v>0</v>
      </c>
      <c r="AE48" s="10">
        <f t="shared" si="61"/>
        <v>0</v>
      </c>
      <c r="AF48" s="10">
        <f t="shared" si="62"/>
        <v>166021.54969683522</v>
      </c>
      <c r="AG48" s="10">
        <f t="shared" si="63"/>
        <v>31</v>
      </c>
    </row>
    <row r="49" spans="3:33" ht="17.25">
      <c r="C49" s="2"/>
      <c r="D49" s="18"/>
      <c r="E49" s="18"/>
      <c r="F49" s="18"/>
      <c r="G49" s="18"/>
      <c r="H49" s="18"/>
      <c r="I49" s="18"/>
      <c r="J49">
        <f t="shared" si="44"/>
        <v>0</v>
      </c>
      <c r="K49">
        <f t="shared" si="45"/>
        <v>0</v>
      </c>
      <c r="L49" s="75"/>
      <c r="M49" s="75"/>
      <c r="N49" s="23">
        <f t="shared" si="46"/>
        <v>31</v>
      </c>
      <c r="O49" s="23">
        <f t="shared" si="47"/>
        <v>3</v>
      </c>
      <c r="P49" s="23">
        <f t="shared" si="48"/>
        <v>-1.08</v>
      </c>
      <c r="Q49" s="23">
        <f t="shared" si="49"/>
        <v>0</v>
      </c>
      <c r="R49" s="23">
        <f t="shared" si="50"/>
        <v>0</v>
      </c>
      <c r="S49" s="23">
        <f t="shared" si="51"/>
        <v>6335439.327202763</v>
      </c>
      <c r="T49" s="23">
        <f t="shared" si="52"/>
        <v>6378137</v>
      </c>
      <c r="V49" s="23">
        <f t="shared" si="53"/>
        <v>0</v>
      </c>
      <c r="X49" s="23">
        <f t="shared" si="54"/>
        <v>0</v>
      </c>
      <c r="Y49" s="23">
        <f t="shared" si="55"/>
        <v>0</v>
      </c>
      <c r="Z49" s="23">
        <f t="shared" si="56"/>
        <v>0</v>
      </c>
      <c r="AA49" s="23">
        <f t="shared" si="57"/>
        <v>309097.11943598965</v>
      </c>
      <c r="AB49" s="23">
        <f t="shared" si="58"/>
        <v>121.90192067388125</v>
      </c>
      <c r="AC49" s="23">
        <f t="shared" si="59"/>
        <v>0</v>
      </c>
      <c r="AD49" s="23">
        <f t="shared" si="60"/>
        <v>0</v>
      </c>
      <c r="AE49" s="10">
        <f t="shared" si="61"/>
        <v>0</v>
      </c>
      <c r="AF49" s="10">
        <f t="shared" si="62"/>
        <v>166021.54969683522</v>
      </c>
      <c r="AG49" s="10">
        <f t="shared" si="63"/>
        <v>31</v>
      </c>
    </row>
    <row r="50" spans="3:33" ht="17.25">
      <c r="C50" s="2"/>
      <c r="D50" s="18"/>
      <c r="E50" s="18"/>
      <c r="F50" s="18"/>
      <c r="G50" s="18"/>
      <c r="H50" s="18"/>
      <c r="I50" s="18"/>
      <c r="J50">
        <f t="shared" si="44"/>
        <v>0</v>
      </c>
      <c r="K50">
        <f t="shared" si="45"/>
        <v>0</v>
      </c>
      <c r="L50" s="75"/>
      <c r="M50" s="75"/>
      <c r="N50" s="23">
        <f t="shared" si="46"/>
        <v>31</v>
      </c>
      <c r="O50" s="23">
        <f t="shared" si="47"/>
        <v>3</v>
      </c>
      <c r="P50" s="23">
        <f t="shared" si="48"/>
        <v>-1.08</v>
      </c>
      <c r="Q50" s="23">
        <f t="shared" si="49"/>
        <v>0</v>
      </c>
      <c r="R50" s="23">
        <f t="shared" si="50"/>
        <v>0</v>
      </c>
      <c r="S50" s="23">
        <f t="shared" si="51"/>
        <v>6335439.327202763</v>
      </c>
      <c r="T50" s="23">
        <f t="shared" si="52"/>
        <v>6378137</v>
      </c>
      <c r="V50" s="23">
        <f t="shared" si="53"/>
        <v>0</v>
      </c>
      <c r="X50" s="23">
        <f t="shared" si="54"/>
        <v>0</v>
      </c>
      <c r="Y50" s="23">
        <f t="shared" si="55"/>
        <v>0</v>
      </c>
      <c r="Z50" s="23">
        <f t="shared" si="56"/>
        <v>0</v>
      </c>
      <c r="AA50" s="23">
        <f t="shared" si="57"/>
        <v>309097.11943598965</v>
      </c>
      <c r="AB50" s="23">
        <f t="shared" si="58"/>
        <v>121.90192067388125</v>
      </c>
      <c r="AC50" s="23">
        <f t="shared" si="59"/>
        <v>0</v>
      </c>
      <c r="AD50" s="23">
        <f t="shared" si="60"/>
        <v>0</v>
      </c>
      <c r="AE50" s="10">
        <f t="shared" si="61"/>
        <v>0</v>
      </c>
      <c r="AF50" s="10">
        <f t="shared" si="62"/>
        <v>166021.54969683522</v>
      </c>
      <c r="AG50" s="10">
        <f t="shared" si="63"/>
        <v>31</v>
      </c>
    </row>
    <row r="51" spans="3:33" ht="17.25">
      <c r="C51" s="2"/>
      <c r="D51" s="18"/>
      <c r="E51" s="18"/>
      <c r="F51" s="18"/>
      <c r="G51" s="18"/>
      <c r="H51" s="18"/>
      <c r="I51" s="18"/>
      <c r="J51">
        <f t="shared" si="44"/>
        <v>0</v>
      </c>
      <c r="K51">
        <f t="shared" si="45"/>
        <v>0</v>
      </c>
      <c r="L51" s="75"/>
      <c r="M51" s="75"/>
      <c r="N51" s="23">
        <f t="shared" si="46"/>
        <v>31</v>
      </c>
      <c r="O51" s="23">
        <f t="shared" si="47"/>
        <v>3</v>
      </c>
      <c r="P51" s="23">
        <f t="shared" si="48"/>
        <v>-1.08</v>
      </c>
      <c r="Q51" s="23">
        <f t="shared" si="49"/>
        <v>0</v>
      </c>
      <c r="R51" s="23">
        <f t="shared" si="50"/>
        <v>0</v>
      </c>
      <c r="S51" s="23">
        <f t="shared" si="51"/>
        <v>6335439.327202763</v>
      </c>
      <c r="T51" s="23">
        <f t="shared" si="52"/>
        <v>6378137</v>
      </c>
      <c r="V51" s="23">
        <f t="shared" si="53"/>
        <v>0</v>
      </c>
      <c r="X51" s="23">
        <f t="shared" si="54"/>
        <v>0</v>
      </c>
      <c r="Y51" s="23">
        <f t="shared" si="55"/>
        <v>0</v>
      </c>
      <c r="Z51" s="23">
        <f t="shared" si="56"/>
        <v>0</v>
      </c>
      <c r="AA51" s="23">
        <f t="shared" si="57"/>
        <v>309097.11943598965</v>
      </c>
      <c r="AB51" s="23">
        <f t="shared" si="58"/>
        <v>121.90192067388125</v>
      </c>
      <c r="AC51" s="23">
        <f t="shared" si="59"/>
        <v>0</v>
      </c>
      <c r="AD51" s="23">
        <f t="shared" si="60"/>
        <v>0</v>
      </c>
      <c r="AE51" s="10">
        <f t="shared" si="61"/>
        <v>0</v>
      </c>
      <c r="AF51" s="10">
        <f t="shared" si="62"/>
        <v>166021.54969683522</v>
      </c>
      <c r="AG51" s="10">
        <f t="shared" si="63"/>
        <v>31</v>
      </c>
    </row>
    <row r="52" spans="3:33" ht="17.25">
      <c r="C52" s="2"/>
      <c r="D52" s="18"/>
      <c r="E52" s="18"/>
      <c r="F52" s="18"/>
      <c r="G52" s="18"/>
      <c r="H52" s="18"/>
      <c r="I52" s="18"/>
      <c r="J52">
        <f t="shared" si="44"/>
        <v>0</v>
      </c>
      <c r="K52">
        <f t="shared" si="45"/>
        <v>0</v>
      </c>
      <c r="L52" s="75"/>
      <c r="M52" s="75"/>
      <c r="N52" s="23">
        <f t="shared" si="46"/>
        <v>31</v>
      </c>
      <c r="O52" s="23">
        <f t="shared" si="47"/>
        <v>3</v>
      </c>
      <c r="P52" s="23">
        <f t="shared" si="48"/>
        <v>-1.08</v>
      </c>
      <c r="Q52" s="23">
        <f t="shared" si="49"/>
        <v>0</v>
      </c>
      <c r="R52" s="23">
        <f t="shared" si="50"/>
        <v>0</v>
      </c>
      <c r="S52" s="23">
        <f t="shared" si="51"/>
        <v>6335439.327202763</v>
      </c>
      <c r="T52" s="23">
        <f t="shared" si="52"/>
        <v>6378137</v>
      </c>
      <c r="V52" s="23">
        <f t="shared" si="53"/>
        <v>0</v>
      </c>
      <c r="X52" s="23">
        <f t="shared" si="54"/>
        <v>0</v>
      </c>
      <c r="Y52" s="23">
        <f t="shared" si="55"/>
        <v>0</v>
      </c>
      <c r="Z52" s="23">
        <f t="shared" si="56"/>
        <v>0</v>
      </c>
      <c r="AA52" s="23">
        <f t="shared" si="57"/>
        <v>309097.11943598965</v>
      </c>
      <c r="AB52" s="23">
        <f t="shared" si="58"/>
        <v>121.90192067388125</v>
      </c>
      <c r="AC52" s="23">
        <f t="shared" si="59"/>
        <v>0</v>
      </c>
      <c r="AD52" s="23">
        <f t="shared" si="60"/>
        <v>0</v>
      </c>
      <c r="AE52" s="10">
        <f t="shared" si="61"/>
        <v>0</v>
      </c>
      <c r="AF52" s="10">
        <f t="shared" si="62"/>
        <v>166021.54969683522</v>
      </c>
      <c r="AG52" s="10">
        <f t="shared" si="63"/>
        <v>31</v>
      </c>
    </row>
    <row r="53" spans="3:33" ht="17.25">
      <c r="C53" s="2"/>
      <c r="D53" s="18"/>
      <c r="E53" s="18"/>
      <c r="F53" s="18"/>
      <c r="G53" s="18"/>
      <c r="H53" s="18"/>
      <c r="I53" s="18"/>
      <c r="J53">
        <f t="shared" si="44"/>
        <v>0</v>
      </c>
      <c r="K53">
        <f t="shared" si="45"/>
        <v>0</v>
      </c>
      <c r="L53" s="75"/>
      <c r="M53" s="75"/>
      <c r="N53" s="23">
        <f t="shared" si="46"/>
        <v>31</v>
      </c>
      <c r="O53" s="23">
        <f t="shared" si="47"/>
        <v>3</v>
      </c>
      <c r="P53" s="23">
        <f t="shared" si="48"/>
        <v>-1.08</v>
      </c>
      <c r="Q53" s="23">
        <f t="shared" si="49"/>
        <v>0</v>
      </c>
      <c r="R53" s="23">
        <f t="shared" si="50"/>
        <v>0</v>
      </c>
      <c r="S53" s="23">
        <f t="shared" si="51"/>
        <v>6335439.327202763</v>
      </c>
      <c r="T53" s="23">
        <f t="shared" si="52"/>
        <v>6378137</v>
      </c>
      <c r="V53" s="23">
        <f t="shared" si="53"/>
        <v>0</v>
      </c>
      <c r="X53" s="23">
        <f t="shared" si="54"/>
        <v>0</v>
      </c>
      <c r="Y53" s="23">
        <f t="shared" si="55"/>
        <v>0</v>
      </c>
      <c r="Z53" s="23">
        <f t="shared" si="56"/>
        <v>0</v>
      </c>
      <c r="AA53" s="23">
        <f t="shared" si="57"/>
        <v>309097.11943598965</v>
      </c>
      <c r="AB53" s="23">
        <f t="shared" si="58"/>
        <v>121.90192067388125</v>
      </c>
      <c r="AC53" s="23">
        <f t="shared" si="59"/>
        <v>0</v>
      </c>
      <c r="AD53" s="23">
        <f t="shared" si="60"/>
        <v>0</v>
      </c>
      <c r="AE53" s="10">
        <f t="shared" si="61"/>
        <v>0</v>
      </c>
      <c r="AF53" s="10">
        <f t="shared" si="62"/>
        <v>166021.54969683522</v>
      </c>
      <c r="AG53" s="10">
        <f t="shared" si="63"/>
        <v>31</v>
      </c>
    </row>
    <row r="54" spans="3:33" ht="17.25">
      <c r="C54" s="2"/>
      <c r="D54" s="18"/>
      <c r="E54" s="18"/>
      <c r="F54" s="18"/>
      <c r="G54" s="18"/>
      <c r="H54" s="18"/>
      <c r="I54" s="18"/>
      <c r="J54">
        <f t="shared" si="44"/>
        <v>0</v>
      </c>
      <c r="K54">
        <f t="shared" si="45"/>
        <v>0</v>
      </c>
      <c r="L54" s="75"/>
      <c r="M54" s="75"/>
      <c r="N54" s="23">
        <f t="shared" si="46"/>
        <v>31</v>
      </c>
      <c r="O54" s="23">
        <f t="shared" si="47"/>
        <v>3</v>
      </c>
      <c r="P54" s="23">
        <f t="shared" si="48"/>
        <v>-1.08</v>
      </c>
      <c r="Q54" s="23">
        <f t="shared" si="49"/>
        <v>0</v>
      </c>
      <c r="R54" s="23">
        <f t="shared" si="50"/>
        <v>0</v>
      </c>
      <c r="S54" s="23">
        <f t="shared" si="51"/>
        <v>6335439.327202763</v>
      </c>
      <c r="T54" s="23">
        <f t="shared" si="52"/>
        <v>6378137</v>
      </c>
      <c r="V54" s="23">
        <f t="shared" si="53"/>
        <v>0</v>
      </c>
      <c r="X54" s="23">
        <f t="shared" si="54"/>
        <v>0</v>
      </c>
      <c r="Y54" s="23">
        <f t="shared" si="55"/>
        <v>0</v>
      </c>
      <c r="Z54" s="23">
        <f t="shared" si="56"/>
        <v>0</v>
      </c>
      <c r="AA54" s="23">
        <f t="shared" si="57"/>
        <v>309097.11943598965</v>
      </c>
      <c r="AB54" s="23">
        <f t="shared" si="58"/>
        <v>121.90192067388125</v>
      </c>
      <c r="AC54" s="23">
        <f t="shared" si="59"/>
        <v>0</v>
      </c>
      <c r="AD54" s="23">
        <f t="shared" si="60"/>
        <v>0</v>
      </c>
      <c r="AE54" s="10">
        <f t="shared" si="61"/>
        <v>0</v>
      </c>
      <c r="AF54" s="10">
        <f t="shared" si="62"/>
        <v>166021.54969683522</v>
      </c>
      <c r="AG54" s="10">
        <f t="shared" si="63"/>
        <v>31</v>
      </c>
    </row>
    <row r="55" spans="3:33" ht="17.25">
      <c r="C55" s="2"/>
      <c r="D55" s="18"/>
      <c r="E55" s="18"/>
      <c r="F55" s="18"/>
      <c r="G55" s="18"/>
      <c r="H55" s="18"/>
      <c r="I55" s="18"/>
      <c r="J55">
        <f t="shared" si="44"/>
        <v>0</v>
      </c>
      <c r="K55">
        <f t="shared" si="45"/>
        <v>0</v>
      </c>
      <c r="L55" s="75"/>
      <c r="M55" s="75"/>
      <c r="N55" s="23">
        <f t="shared" si="46"/>
        <v>31</v>
      </c>
      <c r="O55" s="23">
        <f t="shared" si="47"/>
        <v>3</v>
      </c>
      <c r="P55" s="23">
        <f t="shared" si="48"/>
        <v>-1.08</v>
      </c>
      <c r="Q55" s="23">
        <f t="shared" si="49"/>
        <v>0</v>
      </c>
      <c r="R55" s="23">
        <f t="shared" si="50"/>
        <v>0</v>
      </c>
      <c r="S55" s="23">
        <f t="shared" si="51"/>
        <v>6335439.327202763</v>
      </c>
      <c r="T55" s="23">
        <f t="shared" si="52"/>
        <v>6378137</v>
      </c>
      <c r="V55" s="23">
        <f t="shared" si="53"/>
        <v>0</v>
      </c>
      <c r="X55" s="23">
        <f t="shared" si="54"/>
        <v>0</v>
      </c>
      <c r="Y55" s="23">
        <f t="shared" si="55"/>
        <v>0</v>
      </c>
      <c r="Z55" s="23">
        <f t="shared" si="56"/>
        <v>0</v>
      </c>
      <c r="AA55" s="23">
        <f t="shared" si="57"/>
        <v>309097.11943598965</v>
      </c>
      <c r="AB55" s="23">
        <f t="shared" si="58"/>
        <v>121.90192067388125</v>
      </c>
      <c r="AC55" s="23">
        <f t="shared" si="59"/>
        <v>0</v>
      </c>
      <c r="AD55" s="23">
        <f t="shared" si="60"/>
        <v>0</v>
      </c>
      <c r="AE55" s="10">
        <f t="shared" si="61"/>
        <v>0</v>
      </c>
      <c r="AF55" s="10">
        <f t="shared" si="62"/>
        <v>166021.54969683522</v>
      </c>
      <c r="AG55" s="10">
        <f t="shared" si="63"/>
        <v>31</v>
      </c>
    </row>
    <row r="56" spans="3:33" ht="17.25">
      <c r="C56" s="2"/>
      <c r="D56" s="18"/>
      <c r="E56" s="18"/>
      <c r="F56" s="18"/>
      <c r="G56" s="18"/>
      <c r="H56" s="18"/>
      <c r="I56" s="18"/>
      <c r="J56">
        <f t="shared" si="44"/>
        <v>0</v>
      </c>
      <c r="K56">
        <f t="shared" si="45"/>
        <v>0</v>
      </c>
      <c r="L56" s="75"/>
      <c r="M56" s="75"/>
      <c r="N56" s="23">
        <f t="shared" si="46"/>
        <v>31</v>
      </c>
      <c r="O56" s="23">
        <f t="shared" si="47"/>
        <v>3</v>
      </c>
      <c r="P56" s="23">
        <f t="shared" si="48"/>
        <v>-1.08</v>
      </c>
      <c r="Q56" s="23">
        <f t="shared" si="49"/>
        <v>0</v>
      </c>
      <c r="R56" s="23">
        <f t="shared" si="50"/>
        <v>0</v>
      </c>
      <c r="S56" s="23">
        <f t="shared" si="51"/>
        <v>6335439.327202763</v>
      </c>
      <c r="T56" s="23">
        <f t="shared" si="52"/>
        <v>6378137</v>
      </c>
      <c r="V56" s="23">
        <f t="shared" si="53"/>
        <v>0</v>
      </c>
      <c r="X56" s="23">
        <f t="shared" si="54"/>
        <v>0</v>
      </c>
      <c r="Y56" s="23">
        <f t="shared" si="55"/>
        <v>0</v>
      </c>
      <c r="Z56" s="23">
        <f t="shared" si="56"/>
        <v>0</v>
      </c>
      <c r="AA56" s="23">
        <f t="shared" si="57"/>
        <v>309097.11943598965</v>
      </c>
      <c r="AB56" s="23">
        <f t="shared" si="58"/>
        <v>121.90192067388125</v>
      </c>
      <c r="AC56" s="23">
        <f t="shared" si="59"/>
        <v>0</v>
      </c>
      <c r="AD56" s="23">
        <f t="shared" si="60"/>
        <v>0</v>
      </c>
      <c r="AE56" s="10">
        <f t="shared" si="61"/>
        <v>0</v>
      </c>
      <c r="AF56" s="10">
        <f t="shared" si="62"/>
        <v>166021.54969683522</v>
      </c>
      <c r="AG56" s="10">
        <f t="shared" si="63"/>
        <v>31</v>
      </c>
    </row>
    <row r="57" spans="3:33" ht="17.25">
      <c r="C57" s="2"/>
      <c r="D57" s="18"/>
      <c r="E57" s="18"/>
      <c r="F57" s="18"/>
      <c r="G57" s="18"/>
      <c r="H57" s="18"/>
      <c r="I57" s="18"/>
      <c r="J57">
        <f t="shared" si="44"/>
        <v>0</v>
      </c>
      <c r="K57">
        <f t="shared" si="45"/>
        <v>0</v>
      </c>
      <c r="L57" s="75"/>
      <c r="M57" s="75"/>
      <c r="N57" s="23">
        <f t="shared" si="46"/>
        <v>31</v>
      </c>
      <c r="O57" s="23">
        <f t="shared" si="47"/>
        <v>3</v>
      </c>
      <c r="P57" s="23">
        <f t="shared" si="48"/>
        <v>-1.08</v>
      </c>
      <c r="Q57" s="23">
        <f t="shared" si="49"/>
        <v>0</v>
      </c>
      <c r="R57" s="23">
        <f t="shared" si="50"/>
        <v>0</v>
      </c>
      <c r="S57" s="23">
        <f t="shared" si="51"/>
        <v>6335439.327202763</v>
      </c>
      <c r="T57" s="23">
        <f t="shared" si="52"/>
        <v>6378137</v>
      </c>
      <c r="V57" s="23">
        <f t="shared" si="53"/>
        <v>0</v>
      </c>
      <c r="X57" s="23">
        <f t="shared" si="54"/>
        <v>0</v>
      </c>
      <c r="Y57" s="23">
        <f t="shared" si="55"/>
        <v>0</v>
      </c>
      <c r="Z57" s="23">
        <f t="shared" si="56"/>
        <v>0</v>
      </c>
      <c r="AA57" s="23">
        <f t="shared" si="57"/>
        <v>309097.11943598965</v>
      </c>
      <c r="AB57" s="23">
        <f t="shared" si="58"/>
        <v>121.90192067388125</v>
      </c>
      <c r="AC57" s="23">
        <f t="shared" si="59"/>
        <v>0</v>
      </c>
      <c r="AD57" s="23">
        <f t="shared" si="60"/>
        <v>0</v>
      </c>
      <c r="AE57" s="10">
        <f t="shared" si="61"/>
        <v>0</v>
      </c>
      <c r="AF57" s="10">
        <f t="shared" si="62"/>
        <v>166021.54969683522</v>
      </c>
      <c r="AG57" s="10">
        <f t="shared" si="63"/>
        <v>31</v>
      </c>
    </row>
    <row r="58" spans="3:33" ht="17.25">
      <c r="C58" s="2"/>
      <c r="D58" s="18"/>
      <c r="E58" s="18"/>
      <c r="F58" s="18"/>
      <c r="G58" s="18"/>
      <c r="H58" s="18"/>
      <c r="I58" s="18"/>
      <c r="J58">
        <f t="shared" si="44"/>
        <v>0</v>
      </c>
      <c r="K58">
        <f t="shared" si="45"/>
        <v>0</v>
      </c>
      <c r="L58" s="75"/>
      <c r="M58" s="75"/>
      <c r="N58" s="23">
        <f t="shared" si="46"/>
        <v>31</v>
      </c>
      <c r="O58" s="23">
        <f t="shared" si="47"/>
        <v>3</v>
      </c>
      <c r="P58" s="23">
        <f t="shared" si="48"/>
        <v>-1.08</v>
      </c>
      <c r="Q58" s="23">
        <f t="shared" si="49"/>
        <v>0</v>
      </c>
      <c r="R58" s="23">
        <f t="shared" si="50"/>
        <v>0</v>
      </c>
      <c r="S58" s="23">
        <f t="shared" si="51"/>
        <v>6335439.327202763</v>
      </c>
      <c r="T58" s="23">
        <f t="shared" si="52"/>
        <v>6378137</v>
      </c>
      <c r="V58" s="23">
        <f t="shared" si="53"/>
        <v>0</v>
      </c>
      <c r="X58" s="23">
        <f t="shared" si="54"/>
        <v>0</v>
      </c>
      <c r="Y58" s="23">
        <f t="shared" si="55"/>
        <v>0</v>
      </c>
      <c r="Z58" s="23">
        <f t="shared" si="56"/>
        <v>0</v>
      </c>
      <c r="AA58" s="23">
        <f t="shared" si="57"/>
        <v>309097.11943598965</v>
      </c>
      <c r="AB58" s="23">
        <f t="shared" si="58"/>
        <v>121.90192067388125</v>
      </c>
      <c r="AC58" s="23">
        <f t="shared" si="59"/>
        <v>0</v>
      </c>
      <c r="AD58" s="23">
        <f t="shared" si="60"/>
        <v>0</v>
      </c>
      <c r="AE58" s="10">
        <f t="shared" si="61"/>
        <v>0</v>
      </c>
      <c r="AF58" s="10">
        <f t="shared" si="62"/>
        <v>166021.54969683522</v>
      </c>
      <c r="AG58" s="10">
        <f t="shared" si="63"/>
        <v>31</v>
      </c>
    </row>
    <row r="59" spans="3:33" ht="17.25">
      <c r="C59" s="2"/>
      <c r="D59" s="18"/>
      <c r="E59" s="18"/>
      <c r="F59" s="18"/>
      <c r="G59" s="18"/>
      <c r="H59" s="18"/>
      <c r="I59" s="18"/>
      <c r="J59">
        <f t="shared" si="44"/>
        <v>0</v>
      </c>
      <c r="K59">
        <f t="shared" si="45"/>
        <v>0</v>
      </c>
      <c r="L59" s="75"/>
      <c r="M59" s="75"/>
      <c r="N59" s="23">
        <f t="shared" si="46"/>
        <v>31</v>
      </c>
      <c r="O59" s="23">
        <f t="shared" si="47"/>
        <v>3</v>
      </c>
      <c r="P59" s="23">
        <f t="shared" si="48"/>
        <v>-1.08</v>
      </c>
      <c r="Q59" s="23">
        <f t="shared" si="49"/>
        <v>0</v>
      </c>
      <c r="R59" s="23">
        <f t="shared" si="50"/>
        <v>0</v>
      </c>
      <c r="S59" s="23">
        <f t="shared" si="51"/>
        <v>6335439.327202763</v>
      </c>
      <c r="T59" s="23">
        <f t="shared" si="52"/>
        <v>6378137</v>
      </c>
      <c r="V59" s="23">
        <f t="shared" si="53"/>
        <v>0</v>
      </c>
      <c r="X59" s="23">
        <f t="shared" si="54"/>
        <v>0</v>
      </c>
      <c r="Y59" s="23">
        <f t="shared" si="55"/>
        <v>0</v>
      </c>
      <c r="Z59" s="23">
        <f t="shared" si="56"/>
        <v>0</v>
      </c>
      <c r="AA59" s="23">
        <f t="shared" si="57"/>
        <v>309097.11943598965</v>
      </c>
      <c r="AB59" s="23">
        <f t="shared" si="58"/>
        <v>121.90192067388125</v>
      </c>
      <c r="AC59" s="23">
        <f t="shared" si="59"/>
        <v>0</v>
      </c>
      <c r="AD59" s="23">
        <f t="shared" si="60"/>
        <v>0</v>
      </c>
      <c r="AE59" s="10">
        <f t="shared" si="61"/>
        <v>0</v>
      </c>
      <c r="AF59" s="10">
        <f t="shared" si="62"/>
        <v>166021.54969683522</v>
      </c>
      <c r="AG59" s="10">
        <f t="shared" si="63"/>
        <v>31</v>
      </c>
    </row>
    <row r="60" spans="3:33" ht="17.25">
      <c r="C60" s="2"/>
      <c r="D60" s="18"/>
      <c r="E60" s="18"/>
      <c r="F60" s="18"/>
      <c r="G60" s="18"/>
      <c r="H60" s="18"/>
      <c r="I60" s="18"/>
      <c r="J60">
        <f t="shared" si="44"/>
        <v>0</v>
      </c>
      <c r="K60">
        <f t="shared" si="45"/>
        <v>0</v>
      </c>
      <c r="L60" s="75"/>
      <c r="M60" s="75"/>
      <c r="N60" s="23">
        <f t="shared" si="46"/>
        <v>31</v>
      </c>
      <c r="O60" s="23">
        <f t="shared" si="47"/>
        <v>3</v>
      </c>
      <c r="P60" s="23">
        <f t="shared" si="48"/>
        <v>-1.08</v>
      </c>
      <c r="Q60" s="23">
        <f t="shared" si="49"/>
        <v>0</v>
      </c>
      <c r="R60" s="23">
        <f t="shared" si="50"/>
        <v>0</v>
      </c>
      <c r="S60" s="23">
        <f t="shared" si="51"/>
        <v>6335439.327202763</v>
      </c>
      <c r="T60" s="23">
        <f t="shared" si="52"/>
        <v>6378137</v>
      </c>
      <c r="V60" s="23">
        <f t="shared" si="53"/>
        <v>0</v>
      </c>
      <c r="X60" s="23">
        <f t="shared" si="54"/>
        <v>0</v>
      </c>
      <c r="Y60" s="23">
        <f t="shared" si="55"/>
        <v>0</v>
      </c>
      <c r="Z60" s="23">
        <f t="shared" si="56"/>
        <v>0</v>
      </c>
      <c r="AA60" s="23">
        <f t="shared" si="57"/>
        <v>309097.11943598965</v>
      </c>
      <c r="AB60" s="23">
        <f t="shared" si="58"/>
        <v>121.90192067388125</v>
      </c>
      <c r="AC60" s="23">
        <f t="shared" si="59"/>
        <v>0</v>
      </c>
      <c r="AD60" s="23">
        <f t="shared" si="60"/>
        <v>0</v>
      </c>
      <c r="AE60" s="10">
        <f t="shared" si="61"/>
        <v>0</v>
      </c>
      <c r="AF60" s="10">
        <f t="shared" si="62"/>
        <v>166021.54969683522</v>
      </c>
      <c r="AG60" s="10">
        <f t="shared" si="63"/>
        <v>31</v>
      </c>
    </row>
    <row r="61" spans="3:33" ht="17.25">
      <c r="C61" s="2"/>
      <c r="D61" s="18"/>
      <c r="E61" s="18"/>
      <c r="F61" s="18"/>
      <c r="G61" s="18"/>
      <c r="H61" s="18"/>
      <c r="I61" s="18"/>
      <c r="J61">
        <f t="shared" si="44"/>
        <v>0</v>
      </c>
      <c r="K61">
        <f t="shared" si="45"/>
        <v>0</v>
      </c>
      <c r="L61" s="75"/>
      <c r="M61" s="75"/>
      <c r="N61" s="23">
        <f t="shared" si="46"/>
        <v>31</v>
      </c>
      <c r="O61" s="23">
        <f t="shared" si="47"/>
        <v>3</v>
      </c>
      <c r="P61" s="23">
        <f t="shared" si="48"/>
        <v>-1.08</v>
      </c>
      <c r="Q61" s="23">
        <f t="shared" si="49"/>
        <v>0</v>
      </c>
      <c r="R61" s="23">
        <f t="shared" si="50"/>
        <v>0</v>
      </c>
      <c r="S61" s="23">
        <f t="shared" si="51"/>
        <v>6335439.327202763</v>
      </c>
      <c r="T61" s="23">
        <f t="shared" si="52"/>
        <v>6378137</v>
      </c>
      <c r="V61" s="23">
        <f t="shared" si="53"/>
        <v>0</v>
      </c>
      <c r="X61" s="23">
        <f t="shared" si="54"/>
        <v>0</v>
      </c>
      <c r="Y61" s="23">
        <f t="shared" si="55"/>
        <v>0</v>
      </c>
      <c r="Z61" s="23">
        <f t="shared" si="56"/>
        <v>0</v>
      </c>
      <c r="AA61" s="23">
        <f t="shared" si="57"/>
        <v>309097.11943598965</v>
      </c>
      <c r="AB61" s="23">
        <f t="shared" si="58"/>
        <v>121.90192067388125</v>
      </c>
      <c r="AC61" s="23">
        <f t="shared" si="59"/>
        <v>0</v>
      </c>
      <c r="AD61" s="23">
        <f t="shared" si="60"/>
        <v>0</v>
      </c>
      <c r="AE61" s="10">
        <f t="shared" si="61"/>
        <v>0</v>
      </c>
      <c r="AF61" s="10">
        <f t="shared" si="62"/>
        <v>166021.54969683522</v>
      </c>
      <c r="AG61" s="10">
        <f t="shared" si="63"/>
        <v>31</v>
      </c>
    </row>
    <row r="62" spans="3:33" ht="17.25">
      <c r="C62" s="2"/>
      <c r="D62" s="18"/>
      <c r="E62" s="18"/>
      <c r="F62" s="18"/>
      <c r="G62" s="18"/>
      <c r="H62" s="18"/>
      <c r="I62" s="18"/>
      <c r="J62">
        <f t="shared" si="44"/>
        <v>0</v>
      </c>
      <c r="K62">
        <f t="shared" si="45"/>
        <v>0</v>
      </c>
      <c r="L62" s="75"/>
      <c r="M62" s="75"/>
      <c r="N62" s="23">
        <f t="shared" si="46"/>
        <v>31</v>
      </c>
      <c r="O62" s="23">
        <f t="shared" si="47"/>
        <v>3</v>
      </c>
      <c r="P62" s="23">
        <f t="shared" si="48"/>
        <v>-1.08</v>
      </c>
      <c r="Q62" s="23">
        <f t="shared" si="49"/>
        <v>0</v>
      </c>
      <c r="R62" s="23">
        <f t="shared" si="50"/>
        <v>0</v>
      </c>
      <c r="S62" s="23">
        <f t="shared" si="51"/>
        <v>6335439.327202763</v>
      </c>
      <c r="T62" s="23">
        <f t="shared" si="52"/>
        <v>6378137</v>
      </c>
      <c r="V62" s="23">
        <f t="shared" si="53"/>
        <v>0</v>
      </c>
      <c r="X62" s="23">
        <f t="shared" si="54"/>
        <v>0</v>
      </c>
      <c r="Y62" s="23">
        <f t="shared" si="55"/>
        <v>0</v>
      </c>
      <c r="Z62" s="23">
        <f t="shared" si="56"/>
        <v>0</v>
      </c>
      <c r="AA62" s="23">
        <f t="shared" si="57"/>
        <v>309097.11943598965</v>
      </c>
      <c r="AB62" s="23">
        <f t="shared" si="58"/>
        <v>121.90192067388125</v>
      </c>
      <c r="AC62" s="23">
        <f t="shared" si="59"/>
        <v>0</v>
      </c>
      <c r="AD62" s="23">
        <f t="shared" si="60"/>
        <v>0</v>
      </c>
      <c r="AE62" s="10">
        <f t="shared" si="61"/>
        <v>0</v>
      </c>
      <c r="AF62" s="10">
        <f t="shared" si="62"/>
        <v>166021.54969683522</v>
      </c>
      <c r="AG62" s="10">
        <f t="shared" si="63"/>
        <v>31</v>
      </c>
    </row>
    <row r="63" spans="3:33" ht="17.25">
      <c r="C63" s="2"/>
      <c r="D63" s="18"/>
      <c r="E63" s="18"/>
      <c r="F63" s="18"/>
      <c r="G63" s="18"/>
      <c r="H63" s="18"/>
      <c r="I63" s="18"/>
      <c r="J63">
        <f t="shared" si="44"/>
        <v>0</v>
      </c>
      <c r="K63">
        <f t="shared" si="45"/>
        <v>0</v>
      </c>
      <c r="L63" s="75"/>
      <c r="M63" s="75"/>
      <c r="N63" s="23">
        <f t="shared" si="46"/>
        <v>31</v>
      </c>
      <c r="O63" s="23">
        <f t="shared" si="47"/>
        <v>3</v>
      </c>
      <c r="P63" s="23">
        <f t="shared" si="48"/>
        <v>-1.08</v>
      </c>
      <c r="Q63" s="23">
        <f t="shared" si="49"/>
        <v>0</v>
      </c>
      <c r="R63" s="23">
        <f t="shared" si="50"/>
        <v>0</v>
      </c>
      <c r="S63" s="23">
        <f t="shared" si="51"/>
        <v>6335439.327202763</v>
      </c>
      <c r="T63" s="23">
        <f t="shared" si="52"/>
        <v>6378137</v>
      </c>
      <c r="V63" s="23">
        <f t="shared" si="53"/>
        <v>0</v>
      </c>
      <c r="X63" s="23">
        <f t="shared" si="54"/>
        <v>0</v>
      </c>
      <c r="Y63" s="23">
        <f t="shared" si="55"/>
        <v>0</v>
      </c>
      <c r="Z63" s="23">
        <f t="shared" si="56"/>
        <v>0</v>
      </c>
      <c r="AA63" s="23">
        <f t="shared" si="57"/>
        <v>309097.11943598965</v>
      </c>
      <c r="AB63" s="23">
        <f t="shared" si="58"/>
        <v>121.90192067388125</v>
      </c>
      <c r="AC63" s="23">
        <f t="shared" si="59"/>
        <v>0</v>
      </c>
      <c r="AD63" s="23">
        <f t="shared" si="60"/>
        <v>0</v>
      </c>
      <c r="AE63" s="10">
        <f t="shared" si="61"/>
        <v>0</v>
      </c>
      <c r="AF63" s="10">
        <f t="shared" si="62"/>
        <v>166021.54969683522</v>
      </c>
      <c r="AG63" s="10">
        <f t="shared" si="63"/>
        <v>31</v>
      </c>
    </row>
    <row r="64" spans="3:33" ht="12.75">
      <c r="C64" s="2"/>
      <c r="D64" s="18"/>
      <c r="E64" s="18"/>
      <c r="F64" s="18"/>
      <c r="G64" s="18"/>
      <c r="H64" s="18"/>
      <c r="I64" s="18"/>
      <c r="J64">
        <f t="shared" si="44"/>
        <v>0</v>
      </c>
      <c r="K64">
        <f t="shared" si="45"/>
        <v>0</v>
      </c>
      <c r="N64" s="23">
        <f t="shared" si="46"/>
        <v>31</v>
      </c>
      <c r="O64" s="23">
        <f t="shared" si="47"/>
        <v>3</v>
      </c>
      <c r="P64" s="23">
        <f t="shared" si="48"/>
        <v>-1.08</v>
      </c>
      <c r="Q64" s="23">
        <f t="shared" si="49"/>
        <v>0</v>
      </c>
      <c r="R64" s="23">
        <f t="shared" si="50"/>
        <v>0</v>
      </c>
      <c r="S64" s="23">
        <f t="shared" si="51"/>
        <v>6335439.327202763</v>
      </c>
      <c r="T64" s="23">
        <f t="shared" si="52"/>
        <v>6378137</v>
      </c>
      <c r="V64" s="23">
        <f t="shared" si="53"/>
        <v>0</v>
      </c>
      <c r="X64" s="23">
        <f t="shared" si="54"/>
        <v>0</v>
      </c>
      <c r="Y64" s="23">
        <f t="shared" si="55"/>
        <v>0</v>
      </c>
      <c r="Z64" s="23">
        <f t="shared" si="56"/>
        <v>0</v>
      </c>
      <c r="AA64" s="23">
        <f t="shared" si="57"/>
        <v>309097.11943598965</v>
      </c>
      <c r="AB64" s="23">
        <f t="shared" si="58"/>
        <v>121.90192067388125</v>
      </c>
      <c r="AC64" s="23">
        <f t="shared" si="59"/>
        <v>0</v>
      </c>
      <c r="AD64" s="23">
        <f t="shared" si="60"/>
        <v>0</v>
      </c>
      <c r="AE64" s="10">
        <f t="shared" si="61"/>
        <v>0</v>
      </c>
      <c r="AF64" s="10">
        <f t="shared" si="62"/>
        <v>166021.54969683522</v>
      </c>
      <c r="AG64" s="10">
        <f t="shared" si="63"/>
        <v>31</v>
      </c>
    </row>
    <row r="65" spans="3:33" ht="12.75">
      <c r="C65" s="2"/>
      <c r="D65" s="18"/>
      <c r="E65" s="18"/>
      <c r="F65" s="18"/>
      <c r="G65" s="18"/>
      <c r="H65" s="18"/>
      <c r="I65" s="18"/>
      <c r="J65">
        <f t="shared" si="44"/>
        <v>0</v>
      </c>
      <c r="K65">
        <f t="shared" si="45"/>
        <v>0</v>
      </c>
      <c r="N65" s="23">
        <f t="shared" si="46"/>
        <v>31</v>
      </c>
      <c r="O65" s="23">
        <f t="shared" si="47"/>
        <v>3</v>
      </c>
      <c r="P65" s="23">
        <f t="shared" si="48"/>
        <v>-1.08</v>
      </c>
      <c r="Q65" s="23">
        <f t="shared" si="49"/>
        <v>0</v>
      </c>
      <c r="R65" s="23">
        <f t="shared" si="50"/>
        <v>0</v>
      </c>
      <c r="S65" s="23">
        <f t="shared" si="51"/>
        <v>6335439.327202763</v>
      </c>
      <c r="T65" s="23">
        <f t="shared" si="52"/>
        <v>6378137</v>
      </c>
      <c r="V65" s="23">
        <f t="shared" si="53"/>
        <v>0</v>
      </c>
      <c r="X65" s="23">
        <f t="shared" si="54"/>
        <v>0</v>
      </c>
      <c r="Y65" s="23">
        <f t="shared" si="55"/>
        <v>0</v>
      </c>
      <c r="Z65" s="23">
        <f t="shared" si="56"/>
        <v>0</v>
      </c>
      <c r="AA65" s="23">
        <f t="shared" si="57"/>
        <v>309097.11943598965</v>
      </c>
      <c r="AB65" s="23">
        <f t="shared" si="58"/>
        <v>121.90192067388125</v>
      </c>
      <c r="AC65" s="23">
        <f t="shared" si="59"/>
        <v>0</v>
      </c>
      <c r="AD65" s="23">
        <f t="shared" si="60"/>
        <v>0</v>
      </c>
      <c r="AE65" s="10">
        <f t="shared" si="61"/>
        <v>0</v>
      </c>
      <c r="AF65" s="10">
        <f t="shared" si="62"/>
        <v>166021.54969683522</v>
      </c>
      <c r="AG65" s="10">
        <f t="shared" si="63"/>
        <v>31</v>
      </c>
    </row>
    <row r="66" spans="3:33" ht="12.75">
      <c r="C66" s="2"/>
      <c r="D66" s="18"/>
      <c r="E66" s="18"/>
      <c r="F66" s="18"/>
      <c r="G66" s="18"/>
      <c r="H66" s="18"/>
      <c r="I66" s="18"/>
      <c r="J66">
        <f t="shared" si="44"/>
        <v>0</v>
      </c>
      <c r="K66">
        <f t="shared" si="45"/>
        <v>0</v>
      </c>
      <c r="N66" s="23">
        <f t="shared" si="46"/>
        <v>31</v>
      </c>
      <c r="O66" s="23">
        <f t="shared" si="47"/>
        <v>3</v>
      </c>
      <c r="P66" s="23">
        <f t="shared" si="48"/>
        <v>-1.08</v>
      </c>
      <c r="Q66" s="23">
        <f t="shared" si="49"/>
        <v>0</v>
      </c>
      <c r="R66" s="23">
        <f t="shared" si="50"/>
        <v>0</v>
      </c>
      <c r="S66" s="23">
        <f t="shared" si="51"/>
        <v>6335439.327202763</v>
      </c>
      <c r="T66" s="23">
        <f t="shared" si="52"/>
        <v>6378137</v>
      </c>
      <c r="V66" s="23">
        <f t="shared" si="53"/>
        <v>0</v>
      </c>
      <c r="X66" s="23">
        <f t="shared" si="54"/>
        <v>0</v>
      </c>
      <c r="Y66" s="23">
        <f t="shared" si="55"/>
        <v>0</v>
      </c>
      <c r="Z66" s="23">
        <f t="shared" si="56"/>
        <v>0</v>
      </c>
      <c r="AA66" s="23">
        <f t="shared" si="57"/>
        <v>309097.11943598965</v>
      </c>
      <c r="AB66" s="23">
        <f t="shared" si="58"/>
        <v>121.90192067388125</v>
      </c>
      <c r="AC66" s="23">
        <f t="shared" si="59"/>
        <v>0</v>
      </c>
      <c r="AD66" s="23">
        <f t="shared" si="60"/>
        <v>0</v>
      </c>
      <c r="AE66" s="10">
        <f t="shared" si="61"/>
        <v>0</v>
      </c>
      <c r="AF66" s="10">
        <f t="shared" si="62"/>
        <v>166021.54969683522</v>
      </c>
      <c r="AG66" s="10">
        <f t="shared" si="63"/>
        <v>31</v>
      </c>
    </row>
    <row r="67" spans="3:33" ht="12.75">
      <c r="C67" s="2"/>
      <c r="D67" s="18"/>
      <c r="E67" s="18"/>
      <c r="F67" s="18"/>
      <c r="G67" s="18"/>
      <c r="H67" s="18"/>
      <c r="I67" s="18"/>
      <c r="J67">
        <f t="shared" si="44"/>
        <v>0</v>
      </c>
      <c r="K67">
        <f t="shared" si="45"/>
        <v>0</v>
      </c>
      <c r="N67" s="23">
        <f t="shared" si="46"/>
        <v>31</v>
      </c>
      <c r="O67" s="23">
        <f t="shared" si="47"/>
        <v>3</v>
      </c>
      <c r="P67" s="23">
        <f t="shared" si="48"/>
        <v>-1.08</v>
      </c>
      <c r="Q67" s="23">
        <f t="shared" si="49"/>
        <v>0</v>
      </c>
      <c r="R67" s="23">
        <f t="shared" si="50"/>
        <v>0</v>
      </c>
      <c r="S67" s="23">
        <f t="shared" si="51"/>
        <v>6335439.327202763</v>
      </c>
      <c r="T67" s="23">
        <f t="shared" si="52"/>
        <v>6378137</v>
      </c>
      <c r="V67" s="23">
        <f t="shared" si="53"/>
        <v>0</v>
      </c>
      <c r="X67" s="23">
        <f t="shared" si="54"/>
        <v>0</v>
      </c>
      <c r="Y67" s="23">
        <f t="shared" si="55"/>
        <v>0</v>
      </c>
      <c r="Z67" s="23">
        <f t="shared" si="56"/>
        <v>0</v>
      </c>
      <c r="AA67" s="23">
        <f t="shared" si="57"/>
        <v>309097.11943598965</v>
      </c>
      <c r="AB67" s="23">
        <f t="shared" si="58"/>
        <v>121.90192067388125</v>
      </c>
      <c r="AC67" s="23">
        <f t="shared" si="59"/>
        <v>0</v>
      </c>
      <c r="AD67" s="23">
        <f t="shared" si="60"/>
        <v>0</v>
      </c>
      <c r="AE67" s="10">
        <f t="shared" si="61"/>
        <v>0</v>
      </c>
      <c r="AF67" s="10">
        <f t="shared" si="62"/>
        <v>166021.54969683522</v>
      </c>
      <c r="AG67" s="10">
        <f t="shared" si="63"/>
        <v>31</v>
      </c>
    </row>
    <row r="68" spans="3:33" ht="12.75">
      <c r="C68" s="2"/>
      <c r="D68" s="18"/>
      <c r="E68" s="18"/>
      <c r="F68" s="18"/>
      <c r="G68" s="18"/>
      <c r="H68" s="18"/>
      <c r="I68" s="18"/>
      <c r="J68">
        <f t="shared" si="44"/>
        <v>0</v>
      </c>
      <c r="K68">
        <f t="shared" si="45"/>
        <v>0</v>
      </c>
      <c r="N68" s="23">
        <f t="shared" si="46"/>
        <v>31</v>
      </c>
      <c r="O68" s="23">
        <f t="shared" si="47"/>
        <v>3</v>
      </c>
      <c r="P68" s="23">
        <f t="shared" si="48"/>
        <v>-1.08</v>
      </c>
      <c r="Q68" s="23">
        <f t="shared" si="49"/>
        <v>0</v>
      </c>
      <c r="R68" s="23">
        <f t="shared" si="50"/>
        <v>0</v>
      </c>
      <c r="S68" s="23">
        <f t="shared" si="51"/>
        <v>6335439.327202763</v>
      </c>
      <c r="T68" s="23">
        <f t="shared" si="52"/>
        <v>6378137</v>
      </c>
      <c r="V68" s="23">
        <f t="shared" si="53"/>
        <v>0</v>
      </c>
      <c r="X68" s="23">
        <f t="shared" si="54"/>
        <v>0</v>
      </c>
      <c r="Y68" s="23">
        <f t="shared" si="55"/>
        <v>0</v>
      </c>
      <c r="Z68" s="23">
        <f t="shared" si="56"/>
        <v>0</v>
      </c>
      <c r="AA68" s="23">
        <f t="shared" si="57"/>
        <v>309097.11943598965</v>
      </c>
      <c r="AB68" s="23">
        <f t="shared" si="58"/>
        <v>121.90192067388125</v>
      </c>
      <c r="AC68" s="23">
        <f t="shared" si="59"/>
        <v>0</v>
      </c>
      <c r="AD68" s="23">
        <f t="shared" si="60"/>
        <v>0</v>
      </c>
      <c r="AE68" s="10">
        <f t="shared" si="61"/>
        <v>0</v>
      </c>
      <c r="AF68" s="10">
        <f t="shared" si="62"/>
        <v>166021.54969683522</v>
      </c>
      <c r="AG68" s="10">
        <f t="shared" si="63"/>
        <v>31</v>
      </c>
    </row>
    <row r="69" spans="3:33" ht="12.75">
      <c r="C69" s="2"/>
      <c r="D69" s="18"/>
      <c r="E69" s="18"/>
      <c r="F69" s="18"/>
      <c r="G69" s="18"/>
      <c r="H69" s="18"/>
      <c r="I69" s="18"/>
      <c r="J69">
        <f t="shared" si="44"/>
        <v>0</v>
      </c>
      <c r="K69">
        <f t="shared" si="45"/>
        <v>0</v>
      </c>
      <c r="N69" s="23">
        <f t="shared" si="46"/>
        <v>31</v>
      </c>
      <c r="O69" s="23">
        <f t="shared" si="47"/>
        <v>3</v>
      </c>
      <c r="P69" s="23">
        <f t="shared" si="48"/>
        <v>-1.08</v>
      </c>
      <c r="Q69" s="23">
        <f t="shared" si="49"/>
        <v>0</v>
      </c>
      <c r="R69" s="23">
        <f t="shared" si="50"/>
        <v>0</v>
      </c>
      <c r="S69" s="23">
        <f t="shared" si="51"/>
        <v>6335439.327202763</v>
      </c>
      <c r="T69" s="23">
        <f t="shared" si="52"/>
        <v>6378137</v>
      </c>
      <c r="V69" s="23">
        <f t="shared" si="53"/>
        <v>0</v>
      </c>
      <c r="X69" s="23">
        <f t="shared" si="54"/>
        <v>0</v>
      </c>
      <c r="Y69" s="23">
        <f t="shared" si="55"/>
        <v>0</v>
      </c>
      <c r="Z69" s="23">
        <f t="shared" si="56"/>
        <v>0</v>
      </c>
      <c r="AA69" s="23">
        <f t="shared" si="57"/>
        <v>309097.11943598965</v>
      </c>
      <c r="AB69" s="23">
        <f t="shared" si="58"/>
        <v>121.90192067388125</v>
      </c>
      <c r="AC69" s="23">
        <f t="shared" si="59"/>
        <v>0</v>
      </c>
      <c r="AD69" s="23">
        <f t="shared" si="60"/>
        <v>0</v>
      </c>
      <c r="AE69" s="10">
        <f t="shared" si="61"/>
        <v>0</v>
      </c>
      <c r="AF69" s="10">
        <f t="shared" si="62"/>
        <v>166021.54969683522</v>
      </c>
      <c r="AG69" s="10">
        <f t="shared" si="63"/>
        <v>31</v>
      </c>
    </row>
    <row r="70" spans="3:33" ht="12.75">
      <c r="C70" s="2"/>
      <c r="D70" s="18"/>
      <c r="E70" s="18"/>
      <c r="F70" s="18"/>
      <c r="G70" s="18"/>
      <c r="H70" s="18"/>
      <c r="I70" s="18"/>
      <c r="J70">
        <f t="shared" si="44"/>
        <v>0</v>
      </c>
      <c r="K70">
        <f t="shared" si="45"/>
        <v>0</v>
      </c>
      <c r="N70" s="23">
        <f t="shared" si="46"/>
        <v>31</v>
      </c>
      <c r="O70" s="23">
        <f t="shared" si="47"/>
        <v>3</v>
      </c>
      <c r="P70" s="23">
        <f t="shared" si="48"/>
        <v>-1.08</v>
      </c>
      <c r="Q70" s="23">
        <f t="shared" si="49"/>
        <v>0</v>
      </c>
      <c r="R70" s="23">
        <f t="shared" si="50"/>
        <v>0</v>
      </c>
      <c r="S70" s="23">
        <f t="shared" si="51"/>
        <v>6335439.327202763</v>
      </c>
      <c r="T70" s="23">
        <f t="shared" si="52"/>
        <v>6378137</v>
      </c>
      <c r="V70" s="23">
        <f t="shared" si="53"/>
        <v>0</v>
      </c>
      <c r="X70" s="23">
        <f t="shared" si="54"/>
        <v>0</v>
      </c>
      <c r="Y70" s="23">
        <f t="shared" si="55"/>
        <v>0</v>
      </c>
      <c r="Z70" s="23">
        <f t="shared" si="56"/>
        <v>0</v>
      </c>
      <c r="AA70" s="23">
        <f t="shared" si="57"/>
        <v>309097.11943598965</v>
      </c>
      <c r="AB70" s="23">
        <f t="shared" si="58"/>
        <v>121.90192067388125</v>
      </c>
      <c r="AC70" s="23">
        <f t="shared" si="59"/>
        <v>0</v>
      </c>
      <c r="AD70" s="23">
        <f t="shared" si="60"/>
        <v>0</v>
      </c>
      <c r="AE70" s="10">
        <f t="shared" si="61"/>
        <v>0</v>
      </c>
      <c r="AF70" s="10">
        <f t="shared" si="62"/>
        <v>166021.54969683522</v>
      </c>
      <c r="AG70" s="10">
        <f t="shared" si="63"/>
        <v>31</v>
      </c>
    </row>
    <row r="71" spans="3:33" ht="12.75">
      <c r="C71" s="2"/>
      <c r="D71" s="18"/>
      <c r="E71" s="18"/>
      <c r="F71" s="18"/>
      <c r="G71" s="18"/>
      <c r="H71" s="18"/>
      <c r="I71" s="18"/>
      <c r="J71">
        <f t="shared" si="44"/>
        <v>0</v>
      </c>
      <c r="K71">
        <f t="shared" si="45"/>
        <v>0</v>
      </c>
      <c r="N71" s="23">
        <f t="shared" si="46"/>
        <v>31</v>
      </c>
      <c r="O71" s="23">
        <f t="shared" si="47"/>
        <v>3</v>
      </c>
      <c r="P71" s="23">
        <f t="shared" si="48"/>
        <v>-1.08</v>
      </c>
      <c r="Q71" s="23">
        <f t="shared" si="49"/>
        <v>0</v>
      </c>
      <c r="R71" s="23">
        <f t="shared" si="50"/>
        <v>0</v>
      </c>
      <c r="S71" s="23">
        <f t="shared" si="51"/>
        <v>6335439.327202763</v>
      </c>
      <c r="T71" s="23">
        <f t="shared" si="52"/>
        <v>6378137</v>
      </c>
      <c r="V71" s="23">
        <f t="shared" si="53"/>
        <v>0</v>
      </c>
      <c r="X71" s="23">
        <f t="shared" si="54"/>
        <v>0</v>
      </c>
      <c r="Y71" s="23">
        <f t="shared" si="55"/>
        <v>0</v>
      </c>
      <c r="Z71" s="23">
        <f t="shared" si="56"/>
        <v>0</v>
      </c>
      <c r="AA71" s="23">
        <f t="shared" si="57"/>
        <v>309097.11943598965</v>
      </c>
      <c r="AB71" s="23">
        <f t="shared" si="58"/>
        <v>121.90192067388125</v>
      </c>
      <c r="AC71" s="23">
        <f t="shared" si="59"/>
        <v>0</v>
      </c>
      <c r="AD71" s="23">
        <f t="shared" si="60"/>
        <v>0</v>
      </c>
      <c r="AE71" s="10">
        <f t="shared" si="61"/>
        <v>0</v>
      </c>
      <c r="AF71" s="10">
        <f t="shared" si="62"/>
        <v>166021.54969683522</v>
      </c>
      <c r="AG71" s="10">
        <f t="shared" si="63"/>
        <v>31</v>
      </c>
    </row>
    <row r="72" spans="3:33" ht="12.75">
      <c r="C72" s="2"/>
      <c r="D72" s="18"/>
      <c r="E72" s="18"/>
      <c r="F72" s="18"/>
      <c r="G72" s="18"/>
      <c r="H72" s="18"/>
      <c r="I72" s="18"/>
      <c r="J72">
        <f t="shared" si="44"/>
        <v>0</v>
      </c>
      <c r="K72">
        <f t="shared" si="45"/>
        <v>0</v>
      </c>
      <c r="N72" s="23">
        <f t="shared" si="46"/>
        <v>31</v>
      </c>
      <c r="O72" s="23">
        <f t="shared" si="47"/>
        <v>3</v>
      </c>
      <c r="P72" s="23">
        <f t="shared" si="48"/>
        <v>-1.08</v>
      </c>
      <c r="Q72" s="23">
        <f t="shared" si="49"/>
        <v>0</v>
      </c>
      <c r="R72" s="23">
        <f t="shared" si="50"/>
        <v>0</v>
      </c>
      <c r="S72" s="23">
        <f t="shared" si="51"/>
        <v>6335439.327202763</v>
      </c>
      <c r="T72" s="23">
        <f t="shared" si="52"/>
        <v>6378137</v>
      </c>
      <c r="V72" s="23">
        <f t="shared" si="53"/>
        <v>0</v>
      </c>
      <c r="X72" s="23">
        <f t="shared" si="54"/>
        <v>0</v>
      </c>
      <c r="Y72" s="23">
        <f t="shared" si="55"/>
        <v>0</v>
      </c>
      <c r="Z72" s="23">
        <f t="shared" si="56"/>
        <v>0</v>
      </c>
      <c r="AA72" s="23">
        <f t="shared" si="57"/>
        <v>309097.11943598965</v>
      </c>
      <c r="AB72" s="23">
        <f t="shared" si="58"/>
        <v>121.90192067388125</v>
      </c>
      <c r="AC72" s="23">
        <f t="shared" si="59"/>
        <v>0</v>
      </c>
      <c r="AD72" s="23">
        <f t="shared" si="60"/>
        <v>0</v>
      </c>
      <c r="AE72" s="10">
        <f t="shared" si="61"/>
        <v>0</v>
      </c>
      <c r="AF72" s="10">
        <f t="shared" si="62"/>
        <v>166021.54969683522</v>
      </c>
      <c r="AG72" s="10">
        <f t="shared" si="63"/>
        <v>31</v>
      </c>
    </row>
    <row r="73" spans="3:33" ht="12.75">
      <c r="C73" s="2"/>
      <c r="D73" s="18"/>
      <c r="E73" s="18"/>
      <c r="F73" s="18"/>
      <c r="G73" s="18"/>
      <c r="H73" s="18"/>
      <c r="I73" s="18"/>
      <c r="J73">
        <f t="shared" si="44"/>
        <v>0</v>
      </c>
      <c r="K73">
        <f t="shared" si="45"/>
        <v>0</v>
      </c>
      <c r="N73" s="23">
        <f t="shared" si="46"/>
        <v>31</v>
      </c>
      <c r="O73" s="23">
        <f t="shared" si="47"/>
        <v>3</v>
      </c>
      <c r="P73" s="23">
        <f t="shared" si="48"/>
        <v>-1.08</v>
      </c>
      <c r="Q73" s="23">
        <f t="shared" si="49"/>
        <v>0</v>
      </c>
      <c r="R73" s="23">
        <f t="shared" si="50"/>
        <v>0</v>
      </c>
      <c r="S73" s="23">
        <f t="shared" si="51"/>
        <v>6335439.327202763</v>
      </c>
      <c r="T73" s="23">
        <f t="shared" si="52"/>
        <v>6378137</v>
      </c>
      <c r="V73" s="23">
        <f t="shared" si="53"/>
        <v>0</v>
      </c>
      <c r="X73" s="23">
        <f t="shared" si="54"/>
        <v>0</v>
      </c>
      <c r="Y73" s="23">
        <f t="shared" si="55"/>
        <v>0</v>
      </c>
      <c r="Z73" s="23">
        <f t="shared" si="56"/>
        <v>0</v>
      </c>
      <c r="AA73" s="23">
        <f t="shared" si="57"/>
        <v>309097.11943598965</v>
      </c>
      <c r="AB73" s="23">
        <f t="shared" si="58"/>
        <v>121.90192067388125</v>
      </c>
      <c r="AC73" s="23">
        <f t="shared" si="59"/>
        <v>0</v>
      </c>
      <c r="AD73" s="23">
        <f t="shared" si="60"/>
        <v>0</v>
      </c>
      <c r="AE73" s="10">
        <f t="shared" si="61"/>
        <v>0</v>
      </c>
      <c r="AF73" s="10">
        <f t="shared" si="62"/>
        <v>166021.54969683522</v>
      </c>
      <c r="AG73" s="10">
        <f t="shared" si="63"/>
        <v>31</v>
      </c>
    </row>
    <row r="74" spans="3:33" ht="12.75">
      <c r="C74" s="2"/>
      <c r="D74" s="18"/>
      <c r="E74" s="18"/>
      <c r="F74" s="18"/>
      <c r="G74" s="18"/>
      <c r="H74" s="18"/>
      <c r="I74" s="18"/>
      <c r="J74">
        <f t="shared" si="44"/>
        <v>0</v>
      </c>
      <c r="K74">
        <f t="shared" si="45"/>
        <v>0</v>
      </c>
      <c r="N74" s="23">
        <f t="shared" si="46"/>
        <v>31</v>
      </c>
      <c r="O74" s="23">
        <f t="shared" si="47"/>
        <v>3</v>
      </c>
      <c r="P74" s="23">
        <f t="shared" si="48"/>
        <v>-1.08</v>
      </c>
      <c r="Q74" s="23">
        <f t="shared" si="49"/>
        <v>0</v>
      </c>
      <c r="R74" s="23">
        <f t="shared" si="50"/>
        <v>0</v>
      </c>
      <c r="S74" s="23">
        <f t="shared" si="51"/>
        <v>6335439.327202763</v>
      </c>
      <c r="T74" s="23">
        <f t="shared" si="52"/>
        <v>6378137</v>
      </c>
      <c r="V74" s="23">
        <f t="shared" si="53"/>
        <v>0</v>
      </c>
      <c r="X74" s="23">
        <f t="shared" si="54"/>
        <v>0</v>
      </c>
      <c r="Y74" s="23">
        <f t="shared" si="55"/>
        <v>0</v>
      </c>
      <c r="Z74" s="23">
        <f t="shared" si="56"/>
        <v>0</v>
      </c>
      <c r="AA74" s="23">
        <f t="shared" si="57"/>
        <v>309097.11943598965</v>
      </c>
      <c r="AB74" s="23">
        <f t="shared" si="58"/>
        <v>121.90192067388125</v>
      </c>
      <c r="AC74" s="23">
        <f t="shared" si="59"/>
        <v>0</v>
      </c>
      <c r="AD74" s="23">
        <f t="shared" si="60"/>
        <v>0</v>
      </c>
      <c r="AE74" s="10">
        <f t="shared" si="61"/>
        <v>0</v>
      </c>
      <c r="AF74" s="10">
        <f t="shared" si="62"/>
        <v>166021.54969683522</v>
      </c>
      <c r="AG74" s="10">
        <f t="shared" si="63"/>
        <v>31</v>
      </c>
    </row>
    <row r="75" spans="3:33" ht="12.75">
      <c r="C75" s="2"/>
      <c r="D75" s="18"/>
      <c r="E75" s="18"/>
      <c r="F75" s="18"/>
      <c r="G75" s="18"/>
      <c r="H75" s="18"/>
      <c r="I75" s="18"/>
      <c r="J75">
        <f t="shared" si="44"/>
        <v>0</v>
      </c>
      <c r="K75">
        <f t="shared" si="45"/>
        <v>0</v>
      </c>
      <c r="N75" s="23">
        <f t="shared" si="46"/>
        <v>31</v>
      </c>
      <c r="O75" s="23">
        <f t="shared" si="47"/>
        <v>3</v>
      </c>
      <c r="P75" s="23">
        <f t="shared" si="48"/>
        <v>-1.08</v>
      </c>
      <c r="Q75" s="23">
        <f t="shared" si="49"/>
        <v>0</v>
      </c>
      <c r="R75" s="23">
        <f t="shared" si="50"/>
        <v>0</v>
      </c>
      <c r="S75" s="23">
        <f t="shared" si="51"/>
        <v>6335439.327202763</v>
      </c>
      <c r="T75" s="23">
        <f t="shared" si="52"/>
        <v>6378137</v>
      </c>
      <c r="V75" s="23">
        <f t="shared" si="53"/>
        <v>0</v>
      </c>
      <c r="X75" s="23">
        <f t="shared" si="54"/>
        <v>0</v>
      </c>
      <c r="Y75" s="23">
        <f t="shared" si="55"/>
        <v>0</v>
      </c>
      <c r="Z75" s="23">
        <f t="shared" si="56"/>
        <v>0</v>
      </c>
      <c r="AA75" s="23">
        <f t="shared" si="57"/>
        <v>309097.11943598965</v>
      </c>
      <c r="AB75" s="23">
        <f t="shared" si="58"/>
        <v>121.90192067388125</v>
      </c>
      <c r="AC75" s="23">
        <f t="shared" si="59"/>
        <v>0</v>
      </c>
      <c r="AD75" s="23">
        <f t="shared" si="60"/>
        <v>0</v>
      </c>
      <c r="AE75" s="10">
        <f t="shared" si="61"/>
        <v>0</v>
      </c>
      <c r="AF75" s="10">
        <f t="shared" si="62"/>
        <v>166021.54969683522</v>
      </c>
      <c r="AG75" s="10">
        <f t="shared" si="63"/>
        <v>31</v>
      </c>
    </row>
    <row r="76" spans="3:33" ht="12.75">
      <c r="C76" s="2"/>
      <c r="D76" s="18"/>
      <c r="E76" s="18"/>
      <c r="F76" s="18"/>
      <c r="G76" s="18"/>
      <c r="H76" s="18"/>
      <c r="I76" s="18"/>
      <c r="J76">
        <f t="shared" si="44"/>
        <v>0</v>
      </c>
      <c r="K76">
        <f t="shared" si="45"/>
        <v>0</v>
      </c>
      <c r="N76" s="23">
        <f t="shared" si="46"/>
        <v>31</v>
      </c>
      <c r="O76" s="23">
        <f t="shared" si="47"/>
        <v>3</v>
      </c>
      <c r="P76" s="23">
        <f t="shared" si="48"/>
        <v>-1.08</v>
      </c>
      <c r="Q76" s="23">
        <f t="shared" si="49"/>
        <v>0</v>
      </c>
      <c r="R76" s="23">
        <f t="shared" si="50"/>
        <v>0</v>
      </c>
      <c r="S76" s="23">
        <f t="shared" si="51"/>
        <v>6335439.327202763</v>
      </c>
      <c r="T76" s="23">
        <f t="shared" si="52"/>
        <v>6378137</v>
      </c>
      <c r="V76" s="23">
        <f t="shared" si="53"/>
        <v>0</v>
      </c>
      <c r="X76" s="23">
        <f t="shared" si="54"/>
        <v>0</v>
      </c>
      <c r="Y76" s="23">
        <f t="shared" si="55"/>
        <v>0</v>
      </c>
      <c r="Z76" s="23">
        <f t="shared" si="56"/>
        <v>0</v>
      </c>
      <c r="AA76" s="23">
        <f t="shared" si="57"/>
        <v>309097.11943598965</v>
      </c>
      <c r="AB76" s="23">
        <f t="shared" si="58"/>
        <v>121.90192067388125</v>
      </c>
      <c r="AC76" s="23">
        <f t="shared" si="59"/>
        <v>0</v>
      </c>
      <c r="AD76" s="23">
        <f t="shared" si="60"/>
        <v>0</v>
      </c>
      <c r="AE76" s="10">
        <f t="shared" si="61"/>
        <v>0</v>
      </c>
      <c r="AF76" s="10">
        <f t="shared" si="62"/>
        <v>166021.54969683522</v>
      </c>
      <c r="AG76" s="10">
        <f t="shared" si="63"/>
        <v>31</v>
      </c>
    </row>
    <row r="77" spans="3:33" ht="12.75">
      <c r="C77" s="2"/>
      <c r="D77" s="18"/>
      <c r="E77" s="18"/>
      <c r="F77" s="18"/>
      <c r="G77" s="18"/>
      <c r="H77" s="18"/>
      <c r="I77" s="18"/>
      <c r="J77">
        <f t="shared" si="44"/>
        <v>0</v>
      </c>
      <c r="K77">
        <f t="shared" si="45"/>
        <v>0</v>
      </c>
      <c r="N77" s="23">
        <f t="shared" si="46"/>
        <v>31</v>
      </c>
      <c r="O77" s="23">
        <f t="shared" si="47"/>
        <v>3</v>
      </c>
      <c r="P77" s="23">
        <f t="shared" si="48"/>
        <v>-1.08</v>
      </c>
      <c r="Q77" s="23">
        <f t="shared" si="49"/>
        <v>0</v>
      </c>
      <c r="R77" s="23">
        <f t="shared" si="50"/>
        <v>0</v>
      </c>
      <c r="S77" s="23">
        <f t="shared" si="51"/>
        <v>6335439.327202763</v>
      </c>
      <c r="T77" s="23">
        <f t="shared" si="52"/>
        <v>6378137</v>
      </c>
      <c r="V77" s="23">
        <f t="shared" si="53"/>
        <v>0</v>
      </c>
      <c r="X77" s="23">
        <f t="shared" si="54"/>
        <v>0</v>
      </c>
      <c r="Y77" s="23">
        <f t="shared" si="55"/>
        <v>0</v>
      </c>
      <c r="Z77" s="23">
        <f t="shared" si="56"/>
        <v>0</v>
      </c>
      <c r="AA77" s="23">
        <f t="shared" si="57"/>
        <v>309097.11943598965</v>
      </c>
      <c r="AB77" s="23">
        <f t="shared" si="58"/>
        <v>121.90192067388125</v>
      </c>
      <c r="AC77" s="23">
        <f t="shared" si="59"/>
        <v>0</v>
      </c>
      <c r="AD77" s="23">
        <f t="shared" si="60"/>
        <v>0</v>
      </c>
      <c r="AE77" s="10">
        <f t="shared" si="61"/>
        <v>0</v>
      </c>
      <c r="AF77" s="10">
        <f t="shared" si="62"/>
        <v>166021.54969683522</v>
      </c>
      <c r="AG77" s="10">
        <f t="shared" si="63"/>
        <v>31</v>
      </c>
    </row>
    <row r="78" spans="3:33" ht="12.75">
      <c r="C78" s="2"/>
      <c r="D78" s="18"/>
      <c r="E78" s="18"/>
      <c r="F78" s="18"/>
      <c r="G78" s="18"/>
      <c r="H78" s="18"/>
      <c r="I78" s="18"/>
      <c r="J78">
        <f t="shared" si="44"/>
        <v>0</v>
      </c>
      <c r="K78">
        <f t="shared" si="45"/>
        <v>0</v>
      </c>
      <c r="N78" s="23">
        <f t="shared" si="46"/>
        <v>31</v>
      </c>
      <c r="O78" s="23">
        <f t="shared" si="47"/>
        <v>3</v>
      </c>
      <c r="P78" s="23">
        <f t="shared" si="48"/>
        <v>-1.08</v>
      </c>
      <c r="Q78" s="23">
        <f t="shared" si="49"/>
        <v>0</v>
      </c>
      <c r="R78" s="23">
        <f t="shared" si="50"/>
        <v>0</v>
      </c>
      <c r="S78" s="23">
        <f t="shared" si="51"/>
        <v>6335439.327202763</v>
      </c>
      <c r="T78" s="23">
        <f t="shared" si="52"/>
        <v>6378137</v>
      </c>
      <c r="V78" s="23">
        <f t="shared" si="53"/>
        <v>0</v>
      </c>
      <c r="X78" s="23">
        <f t="shared" si="54"/>
        <v>0</v>
      </c>
      <c r="Y78" s="23">
        <f t="shared" si="55"/>
        <v>0</v>
      </c>
      <c r="Z78" s="23">
        <f t="shared" si="56"/>
        <v>0</v>
      </c>
      <c r="AA78" s="23">
        <f t="shared" si="57"/>
        <v>309097.11943598965</v>
      </c>
      <c r="AB78" s="23">
        <f t="shared" si="58"/>
        <v>121.90192067388125</v>
      </c>
      <c r="AC78" s="23">
        <f t="shared" si="59"/>
        <v>0</v>
      </c>
      <c r="AD78" s="23">
        <f t="shared" si="60"/>
        <v>0</v>
      </c>
      <c r="AE78" s="10">
        <f t="shared" si="61"/>
        <v>0</v>
      </c>
      <c r="AF78" s="10">
        <f t="shared" si="62"/>
        <v>166021.54969683522</v>
      </c>
      <c r="AG78" s="10">
        <f t="shared" si="63"/>
        <v>31</v>
      </c>
    </row>
    <row r="79" spans="3:33" ht="12.75">
      <c r="C79" s="2"/>
      <c r="D79" s="18"/>
      <c r="E79" s="18"/>
      <c r="F79" s="18"/>
      <c r="G79" s="18"/>
      <c r="H79" s="18"/>
      <c r="I79" s="18"/>
      <c r="J79">
        <f t="shared" si="44"/>
        <v>0</v>
      </c>
      <c r="K79">
        <f t="shared" si="45"/>
        <v>0</v>
      </c>
      <c r="N79" s="23">
        <f t="shared" si="46"/>
        <v>31</v>
      </c>
      <c r="O79" s="23">
        <f t="shared" si="47"/>
        <v>3</v>
      </c>
      <c r="P79" s="23">
        <f t="shared" si="48"/>
        <v>-1.08</v>
      </c>
      <c r="Q79" s="23">
        <f t="shared" si="49"/>
        <v>0</v>
      </c>
      <c r="R79" s="23">
        <f t="shared" si="50"/>
        <v>0</v>
      </c>
      <c r="S79" s="23">
        <f t="shared" si="51"/>
        <v>6335439.327202763</v>
      </c>
      <c r="T79" s="23">
        <f t="shared" si="52"/>
        <v>6378137</v>
      </c>
      <c r="V79" s="23">
        <f t="shared" si="53"/>
        <v>0</v>
      </c>
      <c r="X79" s="23">
        <f t="shared" si="54"/>
        <v>0</v>
      </c>
      <c r="Y79" s="23">
        <f t="shared" si="55"/>
        <v>0</v>
      </c>
      <c r="Z79" s="23">
        <f t="shared" si="56"/>
        <v>0</v>
      </c>
      <c r="AA79" s="23">
        <f t="shared" si="57"/>
        <v>309097.11943598965</v>
      </c>
      <c r="AB79" s="23">
        <f t="shared" si="58"/>
        <v>121.90192067388125</v>
      </c>
      <c r="AC79" s="23">
        <f t="shared" si="59"/>
        <v>0</v>
      </c>
      <c r="AD79" s="23">
        <f t="shared" si="60"/>
        <v>0</v>
      </c>
      <c r="AE79" s="10">
        <f t="shared" si="61"/>
        <v>0</v>
      </c>
      <c r="AF79" s="10">
        <f t="shared" si="62"/>
        <v>166021.54969683522</v>
      </c>
      <c r="AG79" s="10">
        <f t="shared" si="63"/>
        <v>31</v>
      </c>
    </row>
  </sheetData>
  <sheetProtection/>
  <hyperlinks>
    <hyperlink ref="A1" r:id="rId1" display="How to Use This Spreadsheet"/>
  </hyperlinks>
  <printOptions/>
  <pageMargins left="0.75" right="0.75" top="1" bottom="1" header="0.5" footer="0.5"/>
  <pageSetup horizontalDpi="300" verticalDpi="300" orientation="portrait" r:id="rId2"/>
</worksheet>
</file>

<file path=xl/worksheets/sheet6.xml><?xml version="1.0" encoding="utf-8"?>
<worksheet xmlns="http://schemas.openxmlformats.org/spreadsheetml/2006/main" xmlns:r="http://schemas.openxmlformats.org/officeDocument/2006/relationships">
  <dimension ref="A1:K33"/>
  <sheetViews>
    <sheetView zoomScalePageLayoutView="0" workbookViewId="0" topLeftCell="A4">
      <selection activeCell="F28" sqref="F28"/>
    </sheetView>
  </sheetViews>
  <sheetFormatPr defaultColWidth="9.140625" defaultRowHeight="12.75"/>
  <cols>
    <col min="3" max="4" width="11.7109375" style="0" bestFit="1" customWidth="1"/>
    <col min="5" max="5" width="22.8515625" style="0" customWidth="1"/>
    <col min="6" max="6" width="12.140625" style="0" customWidth="1"/>
    <col min="7" max="7" width="12.421875" style="0" bestFit="1" customWidth="1"/>
    <col min="8" max="8" width="21.140625" style="0" customWidth="1"/>
  </cols>
  <sheetData>
    <row r="1" spans="2:9" ht="12.75">
      <c r="B1" t="s">
        <v>0</v>
      </c>
      <c r="C1" t="s">
        <v>1</v>
      </c>
      <c r="E1" s="44" t="s">
        <v>149</v>
      </c>
      <c r="F1" s="44"/>
      <c r="G1" s="44">
        <f>'Main Page'!E28</f>
        <v>10</v>
      </c>
      <c r="H1" s="44" t="s">
        <v>150</v>
      </c>
      <c r="I1" s="44" t="str">
        <f>UPPER('Main Page'!F28)</f>
        <v>S</v>
      </c>
    </row>
    <row r="2" spans="1:9" ht="12.75">
      <c r="A2" s="3" t="s">
        <v>50</v>
      </c>
      <c r="B2" s="3"/>
      <c r="C2" s="2"/>
      <c r="E2" s="44" t="s">
        <v>182</v>
      </c>
      <c r="F2" s="44"/>
      <c r="G2" s="44">
        <f>-183+6*G1</f>
        <v>-123</v>
      </c>
      <c r="H2" s="44" t="s">
        <v>211</v>
      </c>
      <c r="I2" s="44">
        <f>(I1&gt;="A")*(I1&lt;="Z")</f>
        <v>1</v>
      </c>
    </row>
    <row r="3" spans="1:9" ht="12.75">
      <c r="A3" s="2" t="s">
        <v>55</v>
      </c>
      <c r="B3" s="2" t="s">
        <v>11</v>
      </c>
      <c r="C3" s="2">
        <f>'Convert UTM to Lat, Long'!C3</f>
        <v>6356752.3142</v>
      </c>
      <c r="E3" s="44" t="s">
        <v>157</v>
      </c>
      <c r="F3" s="44"/>
      <c r="G3" s="44" t="str">
        <f>LEFT('Main Page'!G28,1)</f>
        <v>g</v>
      </c>
      <c r="H3" s="44" t="s">
        <v>209</v>
      </c>
      <c r="I3" s="44" t="str">
        <f>UPPER(LEFT('Main Page'!G28,1))</f>
        <v>G</v>
      </c>
    </row>
    <row r="4" spans="1:9" ht="12.75">
      <c r="A4" s="2" t="s">
        <v>57</v>
      </c>
      <c r="B4" s="2" t="s">
        <v>8</v>
      </c>
      <c r="C4" s="2">
        <f>'Convert UTM to Lat, Long'!C4</f>
        <v>6378137</v>
      </c>
      <c r="E4" s="44" t="s">
        <v>166</v>
      </c>
      <c r="F4" s="44"/>
      <c r="G4" s="44">
        <f>VLOOKUP('Convert MGR to LatLong'!G3,Datums!L2:M25,2)</f>
        <v>7</v>
      </c>
      <c r="H4" s="44" t="s">
        <v>211</v>
      </c>
      <c r="I4" s="44">
        <f>(I3&gt;="A")*(I3&lt;="Z")*(I3&lt;&gt;"I")*(I3&lt;&gt;"O")</f>
        <v>1</v>
      </c>
    </row>
    <row r="5" spans="1:9" ht="12.75">
      <c r="A5" s="2" t="s">
        <v>59</v>
      </c>
      <c r="B5" s="2" t="s">
        <v>25</v>
      </c>
      <c r="C5" s="2">
        <f>'Convert UTM to Lat, Long'!C5</f>
        <v>0.08181919092890692</v>
      </c>
      <c r="E5" s="44" t="s">
        <v>168</v>
      </c>
      <c r="F5" s="44"/>
      <c r="G5" s="44">
        <f>1+MOD('Main Page'!E28,3)</f>
        <v>2</v>
      </c>
      <c r="H5" s="44" t="s">
        <v>210</v>
      </c>
      <c r="I5" s="44" t="str">
        <f>UPPER(RIGHT('Main Page'!G28,1))</f>
        <v>Q</v>
      </c>
    </row>
    <row r="6" spans="1:9" ht="12.75">
      <c r="A6" s="2" t="s">
        <v>43</v>
      </c>
      <c r="B6" s="2" t="s">
        <v>84</v>
      </c>
      <c r="C6" s="2">
        <f>'Convert UTM to Lat, Long'!C6</f>
        <v>0.0067394967565870025</v>
      </c>
      <c r="E6" s="44" t="s">
        <v>167</v>
      </c>
      <c r="F6" s="44"/>
      <c r="G6" s="44">
        <f>CHOOSE(G5,16,0,8)</f>
        <v>0</v>
      </c>
      <c r="H6" s="44" t="s">
        <v>211</v>
      </c>
      <c r="I6" s="44">
        <f>(I5&gt;="A")*(I5&lt;="Z")*(I5&lt;&gt;"I")*(I5&lt;&gt;"O")</f>
        <v>1</v>
      </c>
    </row>
    <row r="7" spans="1:9" ht="12.75">
      <c r="A7" s="2" t="s">
        <v>64</v>
      </c>
      <c r="B7" s="2" t="s">
        <v>22</v>
      </c>
      <c r="C7" s="2">
        <f>'Convert UTM to Lat, Long'!C7</f>
        <v>0.9996</v>
      </c>
      <c r="E7" s="44" t="s">
        <v>160</v>
      </c>
      <c r="F7" s="44"/>
      <c r="G7" s="44">
        <f>100000*(G4-G6)</f>
        <v>700000</v>
      </c>
      <c r="H7" s="44" t="s">
        <v>213</v>
      </c>
      <c r="I7" s="44">
        <f>I6*I4</f>
        <v>1</v>
      </c>
    </row>
    <row r="8" spans="5:9" ht="12.75">
      <c r="E8" s="44" t="s">
        <v>161</v>
      </c>
      <c r="F8" s="44"/>
      <c r="G8" s="44">
        <f>G7+'Main Page'!H28</f>
        <v>781496</v>
      </c>
      <c r="H8" s="44"/>
      <c r="I8" s="44"/>
    </row>
    <row r="9" spans="1:9" ht="12.75">
      <c r="A9" s="13" t="s">
        <v>87</v>
      </c>
      <c r="B9" s="14"/>
      <c r="C9" s="14"/>
      <c r="E9" s="44" t="s">
        <v>214</v>
      </c>
      <c r="F9" s="44"/>
      <c r="G9" s="44">
        <f>500000-G8</f>
        <v>-281496</v>
      </c>
      <c r="H9" s="44"/>
      <c r="I9" s="44"/>
    </row>
    <row r="10" spans="1:11" ht="12.75">
      <c r="A10" s="14" t="s">
        <v>86</v>
      </c>
      <c r="B10" s="14"/>
      <c r="C10" s="15">
        <f>G26/C7</f>
        <v>2901160.464185674</v>
      </c>
      <c r="D10" s="56"/>
      <c r="E10" s="44"/>
      <c r="F10" s="44"/>
      <c r="G10" s="44"/>
      <c r="H10" s="44" t="s">
        <v>54</v>
      </c>
      <c r="I10" s="44"/>
      <c r="J10" s="44"/>
      <c r="K10" s="44">
        <f>(C31-C32+C33)/COS(C17)</f>
        <v>-0.049160216503584236</v>
      </c>
    </row>
    <row r="11" spans="1:11" ht="12.75">
      <c r="A11" s="14"/>
      <c r="B11" s="14" t="s">
        <v>65</v>
      </c>
      <c r="C11" s="14">
        <f>C10/(a*(1-ec^2/4-3*ec^4/64-5*ec^6/256))</f>
        <v>0.4556236567725564</v>
      </c>
      <c r="D11" s="56"/>
      <c r="E11" s="44"/>
      <c r="F11" s="44"/>
      <c r="G11" s="44"/>
      <c r="H11" s="44" t="s">
        <v>76</v>
      </c>
      <c r="I11" s="44" t="s">
        <v>61</v>
      </c>
      <c r="J11" s="44" t="s">
        <v>62</v>
      </c>
      <c r="K11" s="44" t="s">
        <v>63</v>
      </c>
    </row>
    <row r="12" spans="1:11" ht="12.75">
      <c r="A12" s="14"/>
      <c r="B12" s="14" t="s">
        <v>66</v>
      </c>
      <c r="C12" s="14">
        <f>(1-(1-ec*ec)^(1/2))/(1+(1-ec*ec)^(1/2))</f>
        <v>0.0016792203899373788</v>
      </c>
      <c r="D12" s="56"/>
      <c r="E12" s="44" t="s">
        <v>150</v>
      </c>
      <c r="F12" s="44"/>
      <c r="G12" s="53" t="str">
        <f>'Main Page'!F28</f>
        <v>s</v>
      </c>
      <c r="H12" s="44">
        <f>K10*180/PI()</f>
        <v>-2.8166729256047534</v>
      </c>
      <c r="I12" s="44">
        <f>INT(H12)</f>
        <v>-3</v>
      </c>
      <c r="J12" s="44">
        <f>INT((H12-I12)*60)</f>
        <v>10</v>
      </c>
      <c r="K12" s="44">
        <f>3600*(H12-I12-J12/60)</f>
        <v>59.97746782288797</v>
      </c>
    </row>
    <row r="13" spans="1:7" ht="12.75">
      <c r="A13" s="14"/>
      <c r="B13" s="14" t="s">
        <v>34</v>
      </c>
      <c r="C13" s="14">
        <f>3*C12/2-27*C12^3/32</f>
        <v>0.0025188265897211743</v>
      </c>
      <c r="D13" s="56"/>
      <c r="E13" s="44" t="s">
        <v>162</v>
      </c>
      <c r="F13" s="44"/>
      <c r="G13" s="44">
        <f>VLOOKUP(G12,Datums!I2:J23,2)</f>
        <v>32</v>
      </c>
    </row>
    <row r="14" spans="1:7" ht="12.75">
      <c r="A14" s="14"/>
      <c r="B14" s="14" t="s">
        <v>67</v>
      </c>
      <c r="C14" s="14">
        <f>21*C12^2/16-55*C12^4/32</f>
        <v>3.7009490512848485E-06</v>
      </c>
      <c r="D14" s="56"/>
      <c r="E14" s="44" t="s">
        <v>171</v>
      </c>
      <c r="F14" s="44"/>
      <c r="G14" s="44">
        <f>G13*40000000/360</f>
        <v>3555555.5555555555</v>
      </c>
    </row>
    <row r="15" spans="1:7" ht="12.75">
      <c r="A15" s="14"/>
      <c r="B15" s="14" t="s">
        <v>68</v>
      </c>
      <c r="C15" s="14">
        <f>151*C12^3/96</f>
        <v>7.447813814788574E-09</v>
      </c>
      <c r="D15" s="56"/>
      <c r="E15" s="44" t="s">
        <v>172</v>
      </c>
      <c r="F15" s="44"/>
      <c r="G15" s="44">
        <f>2000000*INT(G14/2000000)</f>
        <v>2000000</v>
      </c>
    </row>
    <row r="16" spans="1:7" ht="12.75">
      <c r="A16" s="14"/>
      <c r="B16" s="14" t="s">
        <v>69</v>
      </c>
      <c r="C16" s="14">
        <f>1097*C12^4/512</f>
        <v>1.7035993382806964E-11</v>
      </c>
      <c r="D16" s="56"/>
      <c r="E16" s="44" t="s">
        <v>156</v>
      </c>
      <c r="F16" s="44"/>
      <c r="G16" s="44" t="str">
        <f>RIGHT('Main Page'!G28,1)</f>
        <v>q</v>
      </c>
    </row>
    <row r="17" spans="1:7" ht="12.75">
      <c r="A17" s="14" t="s">
        <v>71</v>
      </c>
      <c r="B17" s="14" t="s">
        <v>216</v>
      </c>
      <c r="C17" s="14">
        <f>C11+C13*SIN(2*C11)+C14*SIN(4*C11)+C15*SIN(6*C11)+C16*SIN(8*C11)</f>
        <v>0.45761779376436634</v>
      </c>
      <c r="D17" s="56"/>
      <c r="E17" s="44" t="s">
        <v>158</v>
      </c>
      <c r="F17" s="44"/>
      <c r="G17" s="44">
        <f>VLOOKUP(G16,Datums!O2:P22,2)</f>
        <v>15</v>
      </c>
    </row>
    <row r="18" spans="1:7" ht="12.75">
      <c r="A18" s="4" t="s">
        <v>88</v>
      </c>
      <c r="B18" s="1"/>
      <c r="C18" s="1"/>
      <c r="D18" s="56"/>
      <c r="E18" s="44" t="s">
        <v>169</v>
      </c>
      <c r="F18" s="44"/>
      <c r="G18" s="44" t="str">
        <f>CHOOSE(1+MOD(G1,2),"F","A")</f>
        <v>F</v>
      </c>
    </row>
    <row r="19" spans="1:7" ht="12.75">
      <c r="A19" s="1" t="s">
        <v>60</v>
      </c>
      <c r="B19" s="1" t="s">
        <v>85</v>
      </c>
      <c r="C19" s="1">
        <f>Sin1</f>
        <v>4.84813681109536E-06</v>
      </c>
      <c r="D19" s="56"/>
      <c r="E19" s="44" t="s">
        <v>170</v>
      </c>
      <c r="F19" s="44"/>
      <c r="G19" s="44">
        <f>CHOOSE(1+MOD(G1,2),6,1)</f>
        <v>6</v>
      </c>
    </row>
    <row r="20" spans="1:7" ht="12.75">
      <c r="A20" s="1" t="s">
        <v>34</v>
      </c>
      <c r="B20" s="1"/>
      <c r="C20" s="1">
        <f>eisq*COS(C17)^2</f>
        <v>0.005423959931728121</v>
      </c>
      <c r="D20" s="56"/>
      <c r="E20" s="44" t="s">
        <v>165</v>
      </c>
      <c r="F20" s="44"/>
      <c r="G20" s="44">
        <f>G15+(G17-G19)*100000</f>
        <v>2900000</v>
      </c>
    </row>
    <row r="21" spans="1:4" ht="12.75">
      <c r="A21" s="1" t="s">
        <v>72</v>
      </c>
      <c r="B21" s="1"/>
      <c r="C21" s="1">
        <f>TAN(C17)^2</f>
        <v>0.24254176679357206</v>
      </c>
      <c r="D21" s="56"/>
    </row>
    <row r="22" spans="1:4" ht="12.75">
      <c r="A22" s="1" t="s">
        <v>73</v>
      </c>
      <c r="B22" s="1"/>
      <c r="C22" s="1">
        <f>a/(1-(ec*SIN(C17))^2)^(1/2)</f>
        <v>6382308.340425896</v>
      </c>
      <c r="D22" s="56"/>
    </row>
    <row r="23" spans="1:4" ht="12.75">
      <c r="A23" s="1" t="s">
        <v>74</v>
      </c>
      <c r="B23" s="1"/>
      <c r="C23" s="1">
        <f>a*(1-ec*ec)/(1-(ec*SIN(C17))^2)^(3/2)</f>
        <v>6347877.706096519</v>
      </c>
      <c r="D23" s="56"/>
    </row>
    <row r="24" spans="1:4" ht="12.75">
      <c r="A24" s="1" t="s">
        <v>75</v>
      </c>
      <c r="B24" s="1"/>
      <c r="C24" s="1">
        <f>G9/(C22*C7)</f>
        <v>-0.04412332160037742</v>
      </c>
      <c r="D24" s="56"/>
    </row>
    <row r="25" spans="1:7" ht="12.75">
      <c r="A25" s="8" t="s">
        <v>89</v>
      </c>
      <c r="B25" s="9"/>
      <c r="C25" s="9"/>
      <c r="D25" s="56"/>
      <c r="E25" s="44" t="s">
        <v>173</v>
      </c>
      <c r="F25" s="44"/>
      <c r="G25" s="44">
        <f>IF(G20&gt;0,G20,10000000+G20)</f>
        <v>2900000</v>
      </c>
    </row>
    <row r="26" spans="1:7" ht="12.75">
      <c r="A26" s="9"/>
      <c r="B26" s="9" t="s">
        <v>77</v>
      </c>
      <c r="C26" s="9">
        <f>C22*TAN(C17)/r0</f>
        <v>0.49606232895938335</v>
      </c>
      <c r="D26" s="56"/>
      <c r="E26" s="44" t="s">
        <v>23</v>
      </c>
      <c r="F26" s="44"/>
      <c r="G26" s="44">
        <f>G25+'Main Page'!I28</f>
        <v>2900000</v>
      </c>
    </row>
    <row r="27" spans="1:4" ht="12.75">
      <c r="A27" s="9"/>
      <c r="B27" s="9" t="s">
        <v>78</v>
      </c>
      <c r="C27" s="9">
        <f>C24*C24/2</f>
        <v>0.0009734337545251664</v>
      </c>
      <c r="D27" s="56"/>
    </row>
    <row r="28" spans="1:6" ht="12.75">
      <c r="A28" s="9"/>
      <c r="B28" s="9" t="s">
        <v>79</v>
      </c>
      <c r="C28" s="9">
        <f>(5+3*C21+10*C20-4*C20*C20-9*eisq)*C24^4/24</f>
        <v>9.035256074023213E-07</v>
      </c>
      <c r="D28" s="56"/>
      <c r="E28" s="44" t="s">
        <v>217</v>
      </c>
      <c r="F28" s="44">
        <f>180*(C17-C26*(C27+C28+C29))/PI()</f>
        <v>26.191875303040376</v>
      </c>
    </row>
    <row r="29" spans="1:6" ht="12.75">
      <c r="A29" s="9"/>
      <c r="B29" s="9" t="s">
        <v>80</v>
      </c>
      <c r="C29" s="9">
        <f>(61+90*C21+298*C20+45*C21*C21-252*eisq-3*C20*C20)*C24^6/720</f>
        <v>8.751919057119376E-10</v>
      </c>
      <c r="D29" s="56"/>
      <c r="E29" s="44" t="s">
        <v>9</v>
      </c>
      <c r="F29" s="44">
        <f>IF(G13&gt;0,F28,90-F28)</f>
        <v>26.191875303040376</v>
      </c>
    </row>
    <row r="30" spans="1:6" ht="12.75">
      <c r="A30" s="6" t="s">
        <v>90</v>
      </c>
      <c r="B30" s="5"/>
      <c r="C30" s="5"/>
      <c r="D30" s="56"/>
      <c r="E30" s="44" t="s">
        <v>215</v>
      </c>
      <c r="F30" s="44">
        <f>G2-H12</f>
        <v>-120.18332707439525</v>
      </c>
    </row>
    <row r="31" spans="1:4" ht="12.75">
      <c r="A31" s="5"/>
      <c r="B31" s="5" t="s">
        <v>81</v>
      </c>
      <c r="C31" s="5">
        <f>C24</f>
        <v>-0.04412332160037742</v>
      </c>
      <c r="D31" s="56"/>
    </row>
    <row r="32" spans="1:4" ht="12.75">
      <c r="A32" s="5"/>
      <c r="B32" s="5" t="s">
        <v>82</v>
      </c>
      <c r="C32" s="5">
        <f>(1+2*C21+C20)*C24^3/6</f>
        <v>-2.1339660675233655E-05</v>
      </c>
      <c r="D32" s="56"/>
    </row>
    <row r="33" spans="1:4" ht="12.75">
      <c r="A33" s="5"/>
      <c r="B33" s="5" t="s">
        <v>83</v>
      </c>
      <c r="C33" s="5">
        <f>(5-2*C20+28*C21-3*C20^2+8*e1sq+24*C21^2)*C24^5/120</f>
        <v>-1.8460523889530224E-08</v>
      </c>
      <c r="D33" s="56"/>
    </row>
  </sheetData>
  <sheetProtection/>
  <printOptions/>
  <pageMargins left="0.75" right="0.75" top="1" bottom="1" header="0.5" footer="0.5"/>
  <pageSetup orientation="portrait" paperSize="9"/>
  <ignoredErrors>
    <ignoredError sqref="I5" formula="1"/>
  </ignoredErrors>
</worksheet>
</file>

<file path=xl/worksheets/sheet7.xml><?xml version="1.0" encoding="utf-8"?>
<worksheet xmlns="http://schemas.openxmlformats.org/spreadsheetml/2006/main" xmlns:r="http://schemas.openxmlformats.org/officeDocument/2006/relationships">
  <dimension ref="A1:I44"/>
  <sheetViews>
    <sheetView zoomScalePageLayoutView="0" workbookViewId="0" topLeftCell="A4">
      <selection activeCell="F28" sqref="F28"/>
    </sheetView>
  </sheetViews>
  <sheetFormatPr defaultColWidth="9.140625" defaultRowHeight="12.75"/>
  <cols>
    <col min="1" max="1" width="9.8515625" style="0" bestFit="1" customWidth="1"/>
    <col min="2" max="2" width="9.8515625" style="0" customWidth="1"/>
    <col min="3" max="3" width="12.28125" style="0" customWidth="1"/>
    <col min="5" max="5" width="12.00390625" style="0" bestFit="1" customWidth="1"/>
    <col min="6" max="6" width="11.7109375" style="0" customWidth="1"/>
    <col min="8" max="8" width="19.7109375" style="0" customWidth="1"/>
  </cols>
  <sheetData>
    <row r="1" spans="2:6" ht="12.75">
      <c r="B1" t="s">
        <v>0</v>
      </c>
      <c r="C1" t="s">
        <v>1</v>
      </c>
      <c r="E1" s="10" t="s">
        <v>56</v>
      </c>
      <c r="F1" s="16">
        <f>IF('Main Page'!H18="N",'Main Page'!E18,10000000-'Main Page'!E18)</f>
        <v>732403</v>
      </c>
    </row>
    <row r="2" spans="1:8" ht="12.75">
      <c r="A2" s="3" t="s">
        <v>50</v>
      </c>
      <c r="B2" s="3"/>
      <c r="C2" s="2"/>
      <c r="E2" s="10" t="s">
        <v>26</v>
      </c>
      <c r="F2" s="16">
        <f>'Main Page'!E17</f>
        <v>663597</v>
      </c>
      <c r="G2" t="s">
        <v>58</v>
      </c>
      <c r="H2">
        <f>500000-lond</f>
        <v>-163597</v>
      </c>
    </row>
    <row r="3" spans="1:6" ht="12.75">
      <c r="A3" s="2" t="s">
        <v>55</v>
      </c>
      <c r="B3" s="2" t="s">
        <v>11</v>
      </c>
      <c r="C3" s="2">
        <f>b</f>
        <v>6356752.3142</v>
      </c>
      <c r="E3" s="10" t="s">
        <v>18</v>
      </c>
      <c r="F3" s="10">
        <f>'Main Page'!H19</f>
        <v>99</v>
      </c>
    </row>
    <row r="4" spans="1:3" ht="12.75">
      <c r="A4" s="2" t="s">
        <v>57</v>
      </c>
      <c r="B4" s="2" t="s">
        <v>8</v>
      </c>
      <c r="C4" s="2">
        <f>a</f>
        <v>6378137</v>
      </c>
    </row>
    <row r="5" spans="1:9" ht="12.75">
      <c r="A5" s="2" t="s">
        <v>59</v>
      </c>
      <c r="B5" s="2" t="s">
        <v>25</v>
      </c>
      <c r="C5" s="2">
        <f>e</f>
        <v>0.08181919092890692</v>
      </c>
      <c r="E5" s="11"/>
      <c r="F5" s="11" t="s">
        <v>5</v>
      </c>
      <c r="G5" s="11" t="s">
        <v>61</v>
      </c>
      <c r="H5" s="11" t="s">
        <v>62</v>
      </c>
      <c r="I5" s="11" t="s">
        <v>63</v>
      </c>
    </row>
    <row r="6" spans="1:9" ht="12.75">
      <c r="A6" s="2" t="s">
        <v>43</v>
      </c>
      <c r="B6" s="2" t="s">
        <v>84</v>
      </c>
      <c r="C6" s="2">
        <f>e1sq</f>
        <v>0.0067394967565870025</v>
      </c>
      <c r="E6" s="11" t="s">
        <v>9</v>
      </c>
      <c r="F6" s="11">
        <f>180*(phi1-fact1*(fact2+fact3+fact4))/PI()</f>
        <v>6.623777715813506</v>
      </c>
      <c r="G6" s="11">
        <f>INT(F6)</f>
        <v>6</v>
      </c>
      <c r="H6" s="11">
        <f>INT((F6-G6)*60)</f>
        <v>37</v>
      </c>
      <c r="I6" s="11">
        <f>3600*(F6-G6-H6/60)</f>
        <v>25.599776928620877</v>
      </c>
    </row>
    <row r="7" spans="1:9" ht="12.75">
      <c r="A7" s="2" t="s">
        <v>64</v>
      </c>
      <c r="B7" s="2" t="s">
        <v>22</v>
      </c>
      <c r="C7" s="2">
        <v>0.9996</v>
      </c>
      <c r="E7" s="11" t="s">
        <v>12</v>
      </c>
      <c r="F7" s="11">
        <f>F3-E22</f>
        <v>100.47985735075653</v>
      </c>
      <c r="G7" s="11">
        <f>TRUNC((F7),0)</f>
        <v>100</v>
      </c>
      <c r="H7" s="11">
        <f>TRUNC(((F7-G7)*60),0)</f>
        <v>28</v>
      </c>
      <c r="I7" s="11">
        <f>3600*(ABS(F7-G7)-ABS(H7/60))</f>
        <v>47.48646272351604</v>
      </c>
    </row>
    <row r="9" spans="1:3" ht="12.75">
      <c r="A9" s="13" t="s">
        <v>87</v>
      </c>
      <c r="B9" s="14"/>
      <c r="C9" s="14"/>
    </row>
    <row r="10" spans="1:3" ht="12.75">
      <c r="A10" s="14" t="s">
        <v>86</v>
      </c>
      <c r="B10" s="14"/>
      <c r="C10" s="15">
        <f>latd/k0</f>
        <v>732696.0784313725</v>
      </c>
    </row>
    <row r="11" spans="1:3" ht="12.75">
      <c r="A11" s="14"/>
      <c r="B11" s="14" t="s">
        <v>65</v>
      </c>
      <c r="C11" s="14">
        <f>arc/(a*(1-ec^2/4-3*ec^4/64-5*ec^6/256))</f>
        <v>0.11506901141075539</v>
      </c>
    </row>
    <row r="12" spans="1:3" ht="12.75">
      <c r="A12" s="14"/>
      <c r="B12" s="14" t="s">
        <v>66</v>
      </c>
      <c r="C12" s="14">
        <f>(1-(1-ec*ec)^(1/2))/(1+(1-ec*ec)^(1/2))</f>
        <v>0.0016792203899373788</v>
      </c>
    </row>
    <row r="13" spans="1:3" ht="12.75">
      <c r="A13" s="14"/>
      <c r="B13" s="14" t="s">
        <v>34</v>
      </c>
      <c r="C13" s="14">
        <f>3*ei/2-27*ei^3/32</f>
        <v>0.0025188265897211743</v>
      </c>
    </row>
    <row r="14" spans="1:5" ht="12.75">
      <c r="A14" s="14"/>
      <c r="B14" s="14" t="s">
        <v>67</v>
      </c>
      <c r="C14" s="14">
        <f>21*ei^2/16-55*ei^4/32</f>
        <v>3.7009490512848485E-06</v>
      </c>
      <c r="E14" t="s">
        <v>159</v>
      </c>
    </row>
    <row r="15" spans="1:8" ht="12.75">
      <c r="A15" s="14"/>
      <c r="B15" s="14" t="s">
        <v>68</v>
      </c>
      <c r="C15" s="14">
        <f>151*ei^3/96</f>
        <v>7.447813814788574E-09</v>
      </c>
      <c r="E15" t="s">
        <v>70</v>
      </c>
      <c r="F15" t="s">
        <v>61</v>
      </c>
      <c r="G15" t="s">
        <v>62</v>
      </c>
      <c r="H15" t="s">
        <v>63</v>
      </c>
    </row>
    <row r="16" spans="1:8" ht="12.75">
      <c r="A16" s="14"/>
      <c r="B16" s="14" t="s">
        <v>69</v>
      </c>
      <c r="C16" s="14">
        <f>1097*ei^4/512</f>
        <v>1.7035993382806964E-11</v>
      </c>
      <c r="E16">
        <f>phi1*180/PI()</f>
        <v>6.625983855095209</v>
      </c>
      <c r="F16">
        <f>INT(E16)</f>
        <v>6</v>
      </c>
      <c r="G16">
        <f>INT((E16-F16)*60)</f>
        <v>37</v>
      </c>
      <c r="H16">
        <f>3600*(E16-F16-G16/60)</f>
        <v>33.54187834275084</v>
      </c>
    </row>
    <row r="17" spans="1:3" ht="12.75">
      <c r="A17" s="14" t="s">
        <v>71</v>
      </c>
      <c r="B17" s="14"/>
      <c r="C17" s="14">
        <f>mu+ca*SIN(2*mu)+cb*SIN(4*mu)+ccc*SIN(6*mu)+cd*SIN(8*mu)</f>
        <v>0.11564523445539825</v>
      </c>
    </row>
    <row r="18" spans="1:3" ht="12.75">
      <c r="A18" s="4" t="s">
        <v>88</v>
      </c>
      <c r="B18" s="1"/>
      <c r="C18" s="1"/>
    </row>
    <row r="19" spans="1:3" ht="12.75">
      <c r="A19" s="1" t="s">
        <v>60</v>
      </c>
      <c r="B19" s="1" t="s">
        <v>85</v>
      </c>
      <c r="C19" s="1">
        <f>Sin1</f>
        <v>4.84813681109536E-06</v>
      </c>
    </row>
    <row r="20" spans="1:8" ht="12.75">
      <c r="A20" s="1" t="s">
        <v>34</v>
      </c>
      <c r="B20" s="1"/>
      <c r="C20" s="1">
        <f>eisq*COS(phi1)^2</f>
        <v>0.006649765029268985</v>
      </c>
      <c r="E20" t="s">
        <v>54</v>
      </c>
      <c r="H20">
        <f>(lof1-lof2+lof3)/COS(phi1)</f>
        <v>-0.025828383230541974</v>
      </c>
    </row>
    <row r="21" spans="1:8" ht="12.75">
      <c r="A21" s="1" t="s">
        <v>72</v>
      </c>
      <c r="B21" s="1"/>
      <c r="C21" s="1">
        <f>TAN(phi1)^2</f>
        <v>0.013493969624950985</v>
      </c>
      <c r="E21" t="s">
        <v>76</v>
      </c>
      <c r="F21" t="s">
        <v>61</v>
      </c>
      <c r="G21" t="s">
        <v>62</v>
      </c>
      <c r="H21" t="s">
        <v>63</v>
      </c>
    </row>
    <row r="22" spans="1:8" ht="12.75">
      <c r="A22" s="1" t="s">
        <v>73</v>
      </c>
      <c r="B22" s="1"/>
      <c r="C22" s="1">
        <f>a/(1-(ec*SIN(phi1))^2)^(1/2)</f>
        <v>6378421.26395977</v>
      </c>
      <c r="E22">
        <f>H20*180/PI()</f>
        <v>-1.4798573507565258</v>
      </c>
      <c r="F22">
        <f>INT(E22)</f>
        <v>-2</v>
      </c>
      <c r="G22">
        <f>INT((E22-F22)*60)</f>
        <v>31</v>
      </c>
      <c r="H22">
        <f>3600*(E22-F22-G22/60)</f>
        <v>12.513537276506925</v>
      </c>
    </row>
    <row r="23" spans="1:3" ht="12.75">
      <c r="A23" s="1" t="s">
        <v>74</v>
      </c>
      <c r="B23" s="1"/>
      <c r="C23" s="1">
        <f>a*(1-ec*ec)/(1-(ec*SIN(phi1))^2)^(3/2)</f>
        <v>6336286.447922941</v>
      </c>
    </row>
    <row r="24" spans="1:3" ht="12.75">
      <c r="A24" s="1" t="s">
        <v>75</v>
      </c>
      <c r="B24" s="1"/>
      <c r="C24" s="1">
        <f>H2/(n0*k0)</f>
        <v>-0.025658773262710398</v>
      </c>
    </row>
    <row r="25" spans="1:3" ht="12.75">
      <c r="A25" s="8" t="s">
        <v>89</v>
      </c>
      <c r="B25" s="9"/>
      <c r="C25" s="9"/>
    </row>
    <row r="26" spans="1:3" ht="12.75">
      <c r="A26" s="9"/>
      <c r="B26" s="9" t="s">
        <v>77</v>
      </c>
      <c r="C26" s="9">
        <f>n0*TAN(phi1)/r0</f>
        <v>0.11693600717695705</v>
      </c>
    </row>
    <row r="27" spans="1:3" ht="12.75">
      <c r="A27" s="9"/>
      <c r="B27" s="9" t="s">
        <v>78</v>
      </c>
      <c r="C27" s="9">
        <f>dd0*dd0/2</f>
        <v>0.000329186322673591</v>
      </c>
    </row>
    <row r="28" spans="1:3" ht="12.75">
      <c r="A28" s="9"/>
      <c r="B28" s="9" t="s">
        <v>79</v>
      </c>
      <c r="C28" s="9">
        <f>(5+3*t0+10*Q0-4*Q0*Q0-9*eisq)*dd0^4/24</f>
        <v>9.11364757820294E-08</v>
      </c>
    </row>
    <row r="29" spans="1:3" ht="12.75">
      <c r="A29" s="9"/>
      <c r="B29" s="9" t="s">
        <v>80</v>
      </c>
      <c r="C29" s="9">
        <f>(61+90*t0+298*Q0+45*t0*t0-252*eisq-3*Q0*Q0)*dd0^6/720</f>
        <v>2.477439875577556E-11</v>
      </c>
    </row>
    <row r="30" spans="1:3" ht="12.75">
      <c r="A30" s="6" t="s">
        <v>90</v>
      </c>
      <c r="B30" s="5"/>
      <c r="C30" s="5"/>
    </row>
    <row r="31" spans="1:3" ht="12.75">
      <c r="A31" s="5"/>
      <c r="B31" s="5" t="s">
        <v>81</v>
      </c>
      <c r="C31" s="5">
        <f>dd0</f>
        <v>-0.025658773262710398</v>
      </c>
    </row>
    <row r="32" spans="1:3" ht="12.75">
      <c r="A32" s="5"/>
      <c r="B32" s="5" t="s">
        <v>82</v>
      </c>
      <c r="C32" s="5">
        <f>(1+2*t0+Q0)*dd0^3/6</f>
        <v>-2.9102128876409972E-06</v>
      </c>
    </row>
    <row r="33" spans="1:3" ht="12.75">
      <c r="A33" s="5"/>
      <c r="B33" s="5" t="s">
        <v>83</v>
      </c>
      <c r="C33" s="5">
        <f>(5-2*Q0+28*t0-3*Q0^2+8*e1sq+24*t0^2)*dd0^5/120</f>
        <v>-5.025885368165903E-10</v>
      </c>
    </row>
    <row r="43" spans="5:6" ht="12.75">
      <c r="E43" s="18"/>
      <c r="F43" s="18"/>
    </row>
    <row r="44" spans="5:6" ht="12.75">
      <c r="E44" s="18"/>
      <c r="F44" s="1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Wisconsin-Green Bay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I. Dutch</dc:creator>
  <cp:keywords/>
  <dc:description/>
  <cp:lastModifiedBy>ACER</cp:lastModifiedBy>
  <dcterms:created xsi:type="dcterms:W3CDTF">2003-09-13T20:44:16Z</dcterms:created>
  <dcterms:modified xsi:type="dcterms:W3CDTF">2012-05-03T08:45:29Z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